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285" windowWidth="14115" windowHeight="7500" firstSheet="4" activeTab="7"/>
  </bookViews>
  <sheets>
    <sheet name="I-INGRESOS" sheetId="4" r:id="rId1"/>
    <sheet name="II-INCREMENTO" sheetId="1" r:id="rId2"/>
    <sheet name="ANEXO II-A" sheetId="9" r:id="rId3"/>
    <sheet name="ANEXO II-B" sheetId="10" r:id="rId4"/>
    <sheet name="III-REDUCCION" sheetId="2" r:id="rId5"/>
    <sheet name="III-A MUNICIPALIDADES" sheetId="7" r:id="rId6"/>
    <sheet name="ANEXO III-B" sheetId="11" r:id="rId7"/>
    <sheet name="IV REASIGNACION" sheetId="8" r:id="rId8"/>
    <sheet name="V- Int. Comisiones" sheetId="5" r:id="rId9"/>
    <sheet name="VI-Amortizacion" sheetId="6" r:id="rId10"/>
  </sheets>
  <definedNames>
    <definedName name="_xlnm._FilterDatabase" localSheetId="1" hidden="1">'II-INCREMENTO'!$A$1:$G$231</definedName>
    <definedName name="_xlnm._FilterDatabase" localSheetId="4" hidden="1">'III-REDUCCION'!$A$1:$G$768</definedName>
    <definedName name="_xlnm._FilterDatabase" localSheetId="7" hidden="1">'IV REASIGNACION'!$A$1:$J$500</definedName>
    <definedName name="_xlnm.Print_Area" localSheetId="3">'ANEXO II-B'!$A$1:$G$27</definedName>
    <definedName name="_xlnm.Print_Area" localSheetId="5">'III-A MUNICIPALIDADES'!$A$1:$D$197</definedName>
    <definedName name="_xlnm.Print_Area" localSheetId="1">'II-INCREMENTO'!$A$1:$D$225</definedName>
    <definedName name="_xlnm.Print_Area" localSheetId="4">'III-REDUCCION'!$A$1:$D$662</definedName>
    <definedName name="_xlnm.Print_Area" localSheetId="0">'I-INGRESOS'!$A$1:$B$62</definedName>
    <definedName name="_xlnm.Print_Area" localSheetId="7">'IV REASIGNACION'!$A$1:$H$481</definedName>
    <definedName name="_xlnm.Print_Area" localSheetId="8">'V- Int. Comisiones'!$A$1:$G$40</definedName>
    <definedName name="_xlnm.Print_Area" localSheetId="9">'VI-Amortizacion'!$A$1:$D$31</definedName>
    <definedName name="_xlnm.Print_Titles" localSheetId="2">'ANEXO II-A'!$1:$5</definedName>
    <definedName name="_xlnm.Print_Titles" localSheetId="3">'ANEXO II-B'!$1:$5</definedName>
    <definedName name="_xlnm.Print_Titles" localSheetId="5">'III-A MUNICIPALIDADES'!$1:$6</definedName>
    <definedName name="_xlnm.Print_Titles" localSheetId="1">'II-INCREMENTO'!$1:$7</definedName>
    <definedName name="_xlnm.Print_Titles" localSheetId="4">'III-REDUCCION'!$1:$7</definedName>
    <definedName name="_xlnm.Print_Titles" localSheetId="0">'I-INGRESOS'!$5:$7</definedName>
    <definedName name="_xlnm.Print_Titles" localSheetId="7">'IV REASIGNACION'!$1:$7</definedName>
  </definedNames>
  <calcPr calcId="144525"/>
</workbook>
</file>

<file path=xl/calcChain.xml><?xml version="1.0" encoding="utf-8"?>
<calcChain xmlns="http://schemas.openxmlformats.org/spreadsheetml/2006/main">
  <c r="G25" i="8" l="1"/>
  <c r="G24" i="8" s="1"/>
  <c r="G22" i="8"/>
  <c r="C22" i="8"/>
  <c r="C21" i="8" s="1"/>
  <c r="G21" i="8" l="1"/>
  <c r="C73" i="1"/>
  <c r="C72" i="1" s="1"/>
  <c r="C69" i="1"/>
  <c r="C68" i="1" s="1"/>
  <c r="C122" i="1"/>
  <c r="C121" i="1" s="1"/>
  <c r="C131" i="1"/>
  <c r="C130" i="1" s="1"/>
  <c r="E18" i="11" l="1"/>
  <c r="D18" i="11"/>
  <c r="F17" i="11"/>
  <c r="F16" i="11"/>
  <c r="A16" i="11"/>
  <c r="A17" i="11" s="1"/>
  <c r="F15" i="11"/>
  <c r="E13" i="11"/>
  <c r="E19" i="11" s="1"/>
  <c r="D13" i="11"/>
  <c r="F12" i="11"/>
  <c r="F11" i="11"/>
  <c r="F10" i="11"/>
  <c r="F9" i="11"/>
  <c r="F8" i="11"/>
  <c r="A8" i="11"/>
  <c r="A9" i="11" s="1"/>
  <c r="A10" i="11" s="1"/>
  <c r="A11" i="11" s="1"/>
  <c r="A12" i="11" s="1"/>
  <c r="F7" i="11"/>
  <c r="E25" i="10"/>
  <c r="D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E29" i="9"/>
  <c r="D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A7" i="9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F6" i="9"/>
  <c r="F29" i="9" l="1"/>
  <c r="F25" i="10"/>
  <c r="F13" i="11"/>
  <c r="F18" i="11"/>
  <c r="D19" i="11"/>
  <c r="F19" i="11" s="1"/>
  <c r="G343" i="8" l="1"/>
  <c r="G342" i="8"/>
  <c r="C336" i="8" l="1"/>
  <c r="C469" i="8" s="1"/>
  <c r="C468" i="8"/>
  <c r="C467" i="8"/>
  <c r="G474" i="8" l="1"/>
  <c r="G117" i="8"/>
  <c r="C184" i="1" l="1"/>
  <c r="C211" i="1"/>
  <c r="C218" i="1"/>
  <c r="C198" i="1"/>
  <c r="C195" i="1"/>
  <c r="C191" i="1"/>
  <c r="C194" i="1" l="1"/>
  <c r="C183" i="1"/>
  <c r="C604" i="2"/>
  <c r="C603" i="2" s="1"/>
  <c r="C600" i="2" l="1"/>
  <c r="C596" i="2"/>
  <c r="C595" i="2" l="1"/>
  <c r="E27" i="5" l="1"/>
  <c r="C642" i="2" l="1"/>
  <c r="C131" i="2"/>
  <c r="C125" i="2"/>
  <c r="G31" i="8" l="1"/>
  <c r="G154" i="8" l="1"/>
  <c r="C153" i="8"/>
  <c r="C154" i="8"/>
  <c r="C329" i="8" l="1"/>
  <c r="C340" i="8"/>
  <c r="C473" i="8" s="1"/>
  <c r="C341" i="8"/>
  <c r="C474" i="8" s="1"/>
  <c r="C328" i="8" l="1"/>
  <c r="C334" i="8"/>
  <c r="C343" i="8"/>
  <c r="C479" i="8" s="1"/>
  <c r="C342" i="8"/>
  <c r="C327" i="8" l="1"/>
  <c r="C458" i="8"/>
  <c r="C397" i="2" l="1"/>
  <c r="C374" i="2"/>
  <c r="C658" i="2" s="1"/>
  <c r="C593" i="2" l="1"/>
  <c r="C651" i="2" s="1"/>
  <c r="G28" i="5"/>
  <c r="G29" i="5"/>
  <c r="F37" i="5"/>
  <c r="F38" i="5"/>
  <c r="E39" i="5"/>
  <c r="F22" i="5"/>
  <c r="E22" i="5"/>
  <c r="F31" i="5"/>
  <c r="G31" i="5" s="1"/>
  <c r="G39" i="5" s="1"/>
  <c r="E30" i="5"/>
  <c r="G30" i="5" s="1"/>
  <c r="D18" i="6"/>
  <c r="E38" i="5" l="1"/>
  <c r="F39" i="5"/>
  <c r="F26" i="5"/>
  <c r="G477" i="8"/>
  <c r="G476" i="8"/>
  <c r="C475" i="8"/>
  <c r="C457" i="8" s="1"/>
  <c r="C456" i="8"/>
  <c r="G466" i="8"/>
  <c r="G457" i="8" s="1"/>
  <c r="G465" i="8"/>
  <c r="G449" i="8"/>
  <c r="C449" i="8"/>
  <c r="G448" i="8"/>
  <c r="C448" i="8"/>
  <c r="C444" i="8"/>
  <c r="G443" i="8"/>
  <c r="G442" i="8" s="1"/>
  <c r="C443" i="8"/>
  <c r="C442" i="8" s="1"/>
  <c r="G439" i="8"/>
  <c r="G438" i="8" s="1"/>
  <c r="C439" i="8"/>
  <c r="C438" i="8" s="1"/>
  <c r="C435" i="8"/>
  <c r="G434" i="8"/>
  <c r="C434" i="8"/>
  <c r="G433" i="8"/>
  <c r="G430" i="8"/>
  <c r="C430" i="8"/>
  <c r="G426" i="8"/>
  <c r="G425" i="8"/>
  <c r="G424" i="8" s="1"/>
  <c r="C425" i="8"/>
  <c r="C424" i="8" s="1"/>
  <c r="G421" i="8"/>
  <c r="G420" i="8"/>
  <c r="G419" i="8" s="1"/>
  <c r="C420" i="8"/>
  <c r="C419" i="8" s="1"/>
  <c r="G416" i="8"/>
  <c r="G415" i="8" s="1"/>
  <c r="G414" i="8" s="1"/>
  <c r="C415" i="8"/>
  <c r="C414" i="8" s="1"/>
  <c r="G411" i="8"/>
  <c r="G410" i="8" s="1"/>
  <c r="G409" i="8" s="1"/>
  <c r="C410" i="8"/>
  <c r="C409" i="8" s="1"/>
  <c r="G406" i="8"/>
  <c r="G402" i="8"/>
  <c r="C402" i="8"/>
  <c r="G397" i="8"/>
  <c r="C397" i="8"/>
  <c r="G393" i="8"/>
  <c r="G392" i="8" s="1"/>
  <c r="G388" i="8"/>
  <c r="C388" i="8"/>
  <c r="C387" i="8" s="1"/>
  <c r="G381" i="8"/>
  <c r="G380" i="8" s="1"/>
  <c r="G379" i="8" s="1"/>
  <c r="C381" i="8"/>
  <c r="C380" i="8" s="1"/>
  <c r="C379" i="8" s="1"/>
  <c r="G374" i="8"/>
  <c r="G373" i="8" s="1"/>
  <c r="G372" i="8" s="1"/>
  <c r="C374" i="8"/>
  <c r="C373" i="8" s="1"/>
  <c r="C372" i="8" s="1"/>
  <c r="G369" i="8"/>
  <c r="G368" i="8" s="1"/>
  <c r="C368" i="8"/>
  <c r="C366" i="8"/>
  <c r="G365" i="8"/>
  <c r="G361" i="8"/>
  <c r="G360" i="8" s="1"/>
  <c r="G356" i="8"/>
  <c r="C356" i="8"/>
  <c r="G352" i="8"/>
  <c r="C352" i="8"/>
  <c r="G350" i="8"/>
  <c r="C346" i="8"/>
  <c r="G346" i="8"/>
  <c r="G478" i="8"/>
  <c r="G340" i="8"/>
  <c r="G473" i="8" s="1"/>
  <c r="G337" i="8"/>
  <c r="C337" i="8"/>
  <c r="G336" i="8"/>
  <c r="G330" i="8" s="1"/>
  <c r="G335" i="8"/>
  <c r="G468" i="8" s="1"/>
  <c r="G334" i="8"/>
  <c r="G316" i="8"/>
  <c r="G315" i="8" s="1"/>
  <c r="C316" i="8"/>
  <c r="C315" i="8" s="1"/>
  <c r="C313" i="8"/>
  <c r="G296" i="8"/>
  <c r="G464" i="8" s="1"/>
  <c r="C293" i="8"/>
  <c r="C292" i="8" s="1"/>
  <c r="G278" i="8"/>
  <c r="G277" i="8" s="1"/>
  <c r="C278" i="8"/>
  <c r="C277" i="8" s="1"/>
  <c r="C274" i="8"/>
  <c r="C273" i="8" s="1"/>
  <c r="C272" i="8" s="1"/>
  <c r="G273" i="8"/>
  <c r="G272" i="8" s="1"/>
  <c r="G266" i="8"/>
  <c r="G261" i="8"/>
  <c r="C252" i="8"/>
  <c r="C251" i="8" s="1"/>
  <c r="C247" i="8"/>
  <c r="C245" i="8"/>
  <c r="G244" i="8"/>
  <c r="G242" i="8" s="1"/>
  <c r="C234" i="8"/>
  <c r="C478" i="8" s="1"/>
  <c r="C226" i="8"/>
  <c r="G219" i="8"/>
  <c r="G216" i="8"/>
  <c r="G212" i="8"/>
  <c r="G209" i="8"/>
  <c r="G205" i="8"/>
  <c r="C205" i="8"/>
  <c r="G200" i="8"/>
  <c r="G199" i="8" s="1"/>
  <c r="G196" i="8"/>
  <c r="C196" i="8"/>
  <c r="C194" i="8" s="1"/>
  <c r="G187" i="8"/>
  <c r="G185" i="8" s="1"/>
  <c r="G184" i="8" s="1"/>
  <c r="C178" i="8"/>
  <c r="C169" i="8"/>
  <c r="G161" i="8"/>
  <c r="G160" i="8" s="1"/>
  <c r="C161" i="8"/>
  <c r="C160" i="8" s="1"/>
  <c r="G153" i="8"/>
  <c r="G147" i="8"/>
  <c r="C147" i="8"/>
  <c r="G143" i="8"/>
  <c r="G141" i="8"/>
  <c r="C141" i="8"/>
  <c r="C140" i="8" s="1"/>
  <c r="G134" i="8"/>
  <c r="C134" i="8"/>
  <c r="C122" i="8"/>
  <c r="G120" i="8"/>
  <c r="C117" i="8"/>
  <c r="G106" i="8"/>
  <c r="G103" i="8" s="1"/>
  <c r="C103" i="8"/>
  <c r="C99" i="8"/>
  <c r="G94" i="8"/>
  <c r="G93" i="8" s="1"/>
  <c r="C93" i="8"/>
  <c r="C85" i="8" s="1"/>
  <c r="G85" i="8"/>
  <c r="G81" i="8"/>
  <c r="G80" i="8" s="1"/>
  <c r="C78" i="8"/>
  <c r="C77" i="8" s="1"/>
  <c r="G74" i="8"/>
  <c r="C74" i="8"/>
  <c r="G67" i="8"/>
  <c r="G66" i="8" s="1"/>
  <c r="C67" i="8"/>
  <c r="C66" i="8" s="1"/>
  <c r="G63" i="8"/>
  <c r="G56" i="8"/>
  <c r="C51" i="8"/>
  <c r="C41" i="8"/>
  <c r="C40" i="8" s="1"/>
  <c r="C31" i="8"/>
  <c r="G17" i="8"/>
  <c r="G14" i="8"/>
  <c r="G12" i="8" s="1"/>
  <c r="G9" i="8"/>
  <c r="C9" i="8"/>
  <c r="C212" i="1"/>
  <c r="C86" i="1"/>
  <c r="C172" i="1"/>
  <c r="C171" i="1" s="1"/>
  <c r="C168" i="1"/>
  <c r="C317" i="2"/>
  <c r="C318" i="2"/>
  <c r="C315" i="2"/>
  <c r="C464" i="8" l="1"/>
  <c r="C455" i="8" s="1"/>
  <c r="C331" i="8"/>
  <c r="C470" i="8"/>
  <c r="C461" i="8" s="1"/>
  <c r="G470" i="8"/>
  <c r="G467" i="8"/>
  <c r="G458" i="8" s="1"/>
  <c r="C401" i="8"/>
  <c r="C351" i="8"/>
  <c r="C345" i="8" s="1"/>
  <c r="C167" i="1"/>
  <c r="C8" i="8"/>
  <c r="G459" i="8"/>
  <c r="G116" i="8"/>
  <c r="G102" i="8" s="1"/>
  <c r="C73" i="8"/>
  <c r="G146" i="8"/>
  <c r="C168" i="8"/>
  <c r="G215" i="8"/>
  <c r="G55" i="8"/>
  <c r="G30" i="8" s="1"/>
  <c r="C84" i="8"/>
  <c r="G349" i="8"/>
  <c r="G345" i="8" s="1"/>
  <c r="G260" i="8"/>
  <c r="G240" i="8" s="1"/>
  <c r="G455" i="8"/>
  <c r="C396" i="8"/>
  <c r="G140" i="8"/>
  <c r="G133" i="8" s="1"/>
  <c r="G329" i="8"/>
  <c r="G8" i="8"/>
  <c r="C339" i="8"/>
  <c r="G387" i="8"/>
  <c r="G73" i="8"/>
  <c r="G84" i="8"/>
  <c r="G327" i="8"/>
  <c r="G331" i="8"/>
  <c r="G401" i="8"/>
  <c r="G396" i="8" s="1"/>
  <c r="G456" i="8"/>
  <c r="I372" i="8"/>
  <c r="G159" i="8"/>
  <c r="G355" i="8"/>
  <c r="G429" i="8"/>
  <c r="C116" i="8"/>
  <c r="C102" i="8" s="1"/>
  <c r="C133" i="8"/>
  <c r="C204" i="8"/>
  <c r="G364" i="8"/>
  <c r="C429" i="8"/>
  <c r="C477" i="8"/>
  <c r="C459" i="8" s="1"/>
  <c r="E37" i="5"/>
  <c r="E26" i="5"/>
  <c r="C653" i="2"/>
  <c r="C39" i="8"/>
  <c r="C30" i="8" s="1"/>
  <c r="C159" i="8"/>
  <c r="C146" i="8"/>
  <c r="G194" i="8"/>
  <c r="G204" i="8"/>
  <c r="C233" i="8"/>
  <c r="C232" i="8" s="1"/>
  <c r="G333" i="8"/>
  <c r="G479" i="8"/>
  <c r="G461" i="8" s="1"/>
  <c r="C365" i="8"/>
  <c r="C364" i="8" s="1"/>
  <c r="C242" i="8"/>
  <c r="C240" i="8" s="1"/>
  <c r="G339" i="8"/>
  <c r="G469" i="8"/>
  <c r="G460" i="8" s="1"/>
  <c r="C355" i="8"/>
  <c r="G293" i="8"/>
  <c r="G292" i="8" s="1"/>
  <c r="C633" i="2"/>
  <c r="C331" i="2"/>
  <c r="C154" i="2"/>
  <c r="C330" i="8" l="1"/>
  <c r="C333" i="8"/>
  <c r="C460" i="8"/>
  <c r="C472" i="8"/>
  <c r="G203" i="8"/>
  <c r="G326" i="8"/>
  <c r="G472" i="8"/>
  <c r="C203" i="8"/>
  <c r="G454" i="8"/>
  <c r="C326" i="8"/>
  <c r="G463" i="8"/>
  <c r="C115" i="1"/>
  <c r="C463" i="8" l="1"/>
  <c r="C454" i="8"/>
  <c r="D23" i="6"/>
  <c r="G12" i="5"/>
  <c r="G13" i="5"/>
  <c r="G15" i="5"/>
  <c r="G18" i="5"/>
  <c r="G23" i="5"/>
  <c r="G24" i="5"/>
  <c r="G38" i="5" s="1"/>
  <c r="G27" i="5"/>
  <c r="G26" i="5" s="1"/>
  <c r="G34" i="5"/>
  <c r="D26" i="6"/>
  <c r="D21" i="6" s="1"/>
  <c r="D17" i="6"/>
  <c r="D15" i="6"/>
  <c r="D13" i="6"/>
  <c r="G37" i="5" l="1"/>
  <c r="G22" i="5"/>
  <c r="D12" i="6"/>
  <c r="D10" i="6" s="1"/>
  <c r="D30" i="6" s="1"/>
  <c r="C661" i="2"/>
  <c r="C501" i="2"/>
  <c r="C500" i="2" s="1"/>
  <c r="C499" i="2" s="1"/>
  <c r="C150" i="1" l="1"/>
  <c r="C415" i="2" l="1"/>
  <c r="C180" i="1"/>
  <c r="C179" i="1" s="1"/>
  <c r="C402" i="2"/>
  <c r="C401" i="2" s="1"/>
  <c r="C327" i="2"/>
  <c r="C296" i="2"/>
  <c r="C295" i="2" s="1"/>
  <c r="C279" i="2"/>
  <c r="C273" i="2"/>
  <c r="C157" i="2"/>
  <c r="C659" i="2"/>
  <c r="C652" i="2"/>
  <c r="C213" i="1"/>
  <c r="C221" i="1"/>
  <c r="C220" i="1"/>
  <c r="C215" i="1"/>
  <c r="C214" i="1"/>
  <c r="C141" i="1"/>
  <c r="C145" i="1"/>
  <c r="C135" i="1"/>
  <c r="C69" i="2"/>
  <c r="C58" i="2"/>
  <c r="C51" i="2"/>
  <c r="C38" i="2" l="1"/>
  <c r="C140" i="1"/>
  <c r="C134" i="1" s="1"/>
  <c r="C68" i="2"/>
  <c r="C57" i="2" s="1"/>
  <c r="C272" i="2"/>
  <c r="C37" i="2" l="1"/>
  <c r="C641" i="2"/>
  <c r="C640" i="2" s="1"/>
  <c r="C639" i="2" s="1"/>
  <c r="D193" i="7" l="1"/>
  <c r="D192" i="7"/>
  <c r="D191" i="7"/>
  <c r="D190" i="7"/>
  <c r="D189" i="7"/>
  <c r="D188" i="7"/>
  <c r="C187" i="7"/>
  <c r="B187" i="7"/>
  <c r="D185" i="7"/>
  <c r="D184" i="7"/>
  <c r="D183" i="7"/>
  <c r="D182" i="7"/>
  <c r="D181" i="7"/>
  <c r="D180" i="7"/>
  <c r="D179" i="7"/>
  <c r="D178" i="7"/>
  <c r="D177" i="7"/>
  <c r="D176" i="7"/>
  <c r="C175" i="7"/>
  <c r="B175" i="7"/>
  <c r="D173" i="7"/>
  <c r="D172" i="7"/>
  <c r="D171" i="7"/>
  <c r="D170" i="7"/>
  <c r="D169" i="7"/>
  <c r="D168" i="7"/>
  <c r="D167" i="7"/>
  <c r="D166" i="7"/>
  <c r="D165" i="7"/>
  <c r="D164" i="7"/>
  <c r="D163" i="7"/>
  <c r="D162" i="7"/>
  <c r="C161" i="7"/>
  <c r="B161" i="7"/>
  <c r="D159" i="7"/>
  <c r="D158" i="7"/>
  <c r="D157" i="7"/>
  <c r="D156" i="7"/>
  <c r="D155" i="7"/>
  <c r="D154" i="7"/>
  <c r="D153" i="7"/>
  <c r="D152" i="7"/>
  <c r="C151" i="7"/>
  <c r="B151" i="7"/>
  <c r="D149" i="7"/>
  <c r="D148" i="7"/>
  <c r="D147" i="7"/>
  <c r="D146" i="7"/>
  <c r="D145" i="7"/>
  <c r="D144" i="7"/>
  <c r="D143" i="7"/>
  <c r="D142" i="7"/>
  <c r="D141" i="7"/>
  <c r="D140" i="7"/>
  <c r="D139" i="7"/>
  <c r="D138" i="7"/>
  <c r="C137" i="7"/>
  <c r="B137" i="7"/>
  <c r="C135" i="7"/>
  <c r="C122" i="7" s="1"/>
  <c r="D134" i="7"/>
  <c r="D133" i="7"/>
  <c r="D132" i="7"/>
  <c r="D131" i="7"/>
  <c r="D130" i="7"/>
  <c r="D129" i="7"/>
  <c r="D128" i="7"/>
  <c r="D127" i="7"/>
  <c r="D126" i="7"/>
  <c r="D125" i="7"/>
  <c r="D124" i="7"/>
  <c r="D123" i="7"/>
  <c r="B122" i="7"/>
  <c r="D120" i="7"/>
  <c r="D119" i="7"/>
  <c r="D118" i="7"/>
  <c r="D117" i="7"/>
  <c r="D116" i="7"/>
  <c r="D115" i="7"/>
  <c r="D114" i="7"/>
  <c r="D113" i="7"/>
  <c r="D112" i="7"/>
  <c r="C111" i="7"/>
  <c r="B111" i="7"/>
  <c r="D109" i="7"/>
  <c r="D108" i="7"/>
  <c r="D107" i="7"/>
  <c r="D106" i="7"/>
  <c r="D105" i="7"/>
  <c r="D104" i="7"/>
  <c r="D103" i="7"/>
  <c r="D102" i="7"/>
  <c r="D101" i="7"/>
  <c r="C100" i="7"/>
  <c r="B100" i="7"/>
  <c r="C98" i="7"/>
  <c r="D98" i="7" s="1"/>
  <c r="D97" i="7"/>
  <c r="D96" i="7"/>
  <c r="D95" i="7"/>
  <c r="D94" i="7"/>
  <c r="D93" i="7"/>
  <c r="D92" i="7"/>
  <c r="D91" i="7"/>
  <c r="D90" i="7"/>
  <c r="B89" i="7"/>
  <c r="C87" i="7"/>
  <c r="D87" i="7" s="1"/>
  <c r="D86" i="7"/>
  <c r="D85" i="7"/>
  <c r="D84" i="7"/>
  <c r="D83" i="7"/>
  <c r="D82" i="7"/>
  <c r="D81" i="7"/>
  <c r="D80" i="7"/>
  <c r="D79" i="7"/>
  <c r="D78" i="7"/>
  <c r="B77" i="7"/>
  <c r="D75" i="7"/>
  <c r="D74" i="7"/>
  <c r="D73" i="7"/>
  <c r="D72" i="7"/>
  <c r="D71" i="7"/>
  <c r="D70" i="7"/>
  <c r="D69" i="7"/>
  <c r="D68" i="7"/>
  <c r="C67" i="7"/>
  <c r="B67" i="7"/>
  <c r="D65" i="7"/>
  <c r="D64" i="7"/>
  <c r="D63" i="7"/>
  <c r="D62" i="7"/>
  <c r="C61" i="7"/>
  <c r="B61" i="7"/>
  <c r="D59" i="7"/>
  <c r="D58" i="7"/>
  <c r="D57" i="7"/>
  <c r="D56" i="7"/>
  <c r="D55" i="7"/>
  <c r="D54" i="7"/>
  <c r="C53" i="7"/>
  <c r="B53" i="7"/>
  <c r="C51" i="7"/>
  <c r="D51" i="7" s="1"/>
  <c r="D50" i="7"/>
  <c r="D49" i="7"/>
  <c r="D48" i="7"/>
  <c r="D47" i="7"/>
  <c r="D46" i="7"/>
  <c r="D45" i="7"/>
  <c r="D44" i="7"/>
  <c r="D43" i="7"/>
  <c r="D42" i="7"/>
  <c r="B41" i="7"/>
  <c r="C39" i="7"/>
  <c r="D39" i="7" s="1"/>
  <c r="D38" i="7"/>
  <c r="D37" i="7"/>
  <c r="D36" i="7"/>
  <c r="D35" i="7"/>
  <c r="D34" i="7"/>
  <c r="D33" i="7"/>
  <c r="D32" i="7"/>
  <c r="D31" i="7"/>
  <c r="D30" i="7"/>
  <c r="D29" i="7"/>
  <c r="D28" i="7"/>
  <c r="D27" i="7"/>
  <c r="B26" i="7"/>
  <c r="D24" i="7"/>
  <c r="D23" i="7"/>
  <c r="D22" i="7"/>
  <c r="D21" i="7"/>
  <c r="D20" i="7"/>
  <c r="D19" i="7"/>
  <c r="D18" i="7"/>
  <c r="D17" i="7"/>
  <c r="C16" i="7"/>
  <c r="B16" i="7"/>
  <c r="D14" i="7"/>
  <c r="D13" i="7"/>
  <c r="D12" i="7"/>
  <c r="D11" i="7"/>
  <c r="D10" i="7"/>
  <c r="D9" i="7"/>
  <c r="C8" i="7"/>
  <c r="B8" i="7"/>
  <c r="C26" i="7" l="1"/>
  <c r="D8" i="7"/>
  <c r="D16" i="7"/>
  <c r="C89" i="7"/>
  <c r="D89" i="7" s="1"/>
  <c r="D100" i="7"/>
  <c r="D137" i="7"/>
  <c r="D151" i="7"/>
  <c r="D161" i="7"/>
  <c r="B196" i="7"/>
  <c r="D135" i="7"/>
  <c r="D122" i="7"/>
  <c r="D26" i="7"/>
  <c r="D53" i="7"/>
  <c r="D111" i="7"/>
  <c r="D175" i="7"/>
  <c r="D67" i="7"/>
  <c r="D61" i="7"/>
  <c r="C41" i="7"/>
  <c r="D41" i="7" s="1"/>
  <c r="C77" i="7"/>
  <c r="D187" i="7"/>
  <c r="C196" i="7" l="1"/>
  <c r="D77" i="7"/>
  <c r="D196" i="7" s="1"/>
  <c r="C398" i="2" l="1"/>
  <c r="C396" i="2"/>
  <c r="C391" i="2" l="1"/>
  <c r="C390" i="2" s="1"/>
  <c r="C202" i="1" l="1"/>
  <c r="C201" i="1" s="1"/>
  <c r="C176" i="1"/>
  <c r="C175" i="1" s="1"/>
  <c r="C48" i="1"/>
  <c r="C164" i="1"/>
  <c r="C163" i="1" s="1"/>
  <c r="C159" i="1"/>
  <c r="C126" i="1"/>
  <c r="C125" i="1" s="1"/>
  <c r="C100" i="1"/>
  <c r="C96" i="1" s="1"/>
  <c r="C114" i="1"/>
  <c r="C118" i="1"/>
  <c r="C117" i="1" s="1"/>
  <c r="C110" i="1"/>
  <c r="C636" i="2"/>
  <c r="C635" i="2" s="1"/>
  <c r="C632" i="2"/>
  <c r="C631" i="2" s="1"/>
  <c r="C628" i="2"/>
  <c r="C627" i="2" s="1"/>
  <c r="C624" i="2"/>
  <c r="C623" i="2" s="1"/>
  <c r="C592" i="2"/>
  <c r="C586" i="2"/>
  <c r="C585" i="2" s="1"/>
  <c r="C578" i="2"/>
  <c r="C577" i="2" s="1"/>
  <c r="C414" i="2"/>
  <c r="C413" i="2" s="1"/>
  <c r="C570" i="2"/>
  <c r="C569" i="2" s="1"/>
  <c r="C566" i="2"/>
  <c r="C565" i="2" s="1"/>
  <c r="C562" i="2"/>
  <c r="C561" i="2" s="1"/>
  <c r="C558" i="2"/>
  <c r="C557" i="2" s="1"/>
  <c r="C554" i="2"/>
  <c r="C553" i="2" s="1"/>
  <c r="C550" i="2"/>
  <c r="C549" i="2" s="1"/>
  <c r="C546" i="2"/>
  <c r="C545" i="2" s="1"/>
  <c r="C542" i="2"/>
  <c r="C541" i="2" s="1"/>
  <c r="C538" i="2"/>
  <c r="C537" i="2" s="1"/>
  <c r="C534" i="2"/>
  <c r="C533" i="2"/>
  <c r="C529" i="2"/>
  <c r="C528" i="2" s="1"/>
  <c r="C525" i="2"/>
  <c r="C524" i="2" s="1"/>
  <c r="C518" i="2"/>
  <c r="C517" i="2" s="1"/>
  <c r="C514" i="2"/>
  <c r="C513" i="2" s="1"/>
  <c r="C510" i="2"/>
  <c r="C509" i="2" s="1"/>
  <c r="C492" i="2"/>
  <c r="C491" i="2" s="1"/>
  <c r="C488" i="2"/>
  <c r="C487" i="2" s="1"/>
  <c r="C484" i="2"/>
  <c r="C483" i="2" s="1"/>
  <c r="C480" i="2"/>
  <c r="C479" i="2" s="1"/>
  <c r="C478" i="2" s="1"/>
  <c r="C475" i="2"/>
  <c r="C474" i="2" s="1"/>
  <c r="C471" i="2"/>
  <c r="C467" i="2"/>
  <c r="C466" i="2" s="1"/>
  <c r="C465" i="2" s="1"/>
  <c r="C462" i="2"/>
  <c r="C461" i="2" s="1"/>
  <c r="C460" i="2" s="1"/>
  <c r="C457" i="2"/>
  <c r="C456" i="2" s="1"/>
  <c r="C455" i="2" s="1"/>
  <c r="C438" i="2"/>
  <c r="C437" i="2" s="1"/>
  <c r="C434" i="2"/>
  <c r="C433" i="2" s="1"/>
  <c r="C430" i="2"/>
  <c r="C429" i="2" s="1"/>
  <c r="C426" i="2"/>
  <c r="C425" i="2" s="1"/>
  <c r="C422" i="2"/>
  <c r="C421" i="2" s="1"/>
  <c r="C418" i="2"/>
  <c r="C417" i="2" s="1"/>
  <c r="C410" i="2"/>
  <c r="C154" i="1"/>
  <c r="C153" i="1" s="1"/>
  <c r="C82" i="1"/>
  <c r="C81" i="1" s="1"/>
  <c r="C77" i="1"/>
  <c r="C95" i="1" l="1"/>
  <c r="C94" i="1" s="1"/>
  <c r="C591" i="2"/>
  <c r="C222" i="1"/>
  <c r="C532" i="2"/>
  <c r="C47" i="1"/>
  <c r="C46" i="1" s="1"/>
  <c r="C45" i="1" s="1"/>
  <c r="C158" i="1"/>
  <c r="C409" i="2"/>
  <c r="C470" i="2"/>
  <c r="C76" i="1"/>
  <c r="C113" i="1"/>
  <c r="C66" i="1" l="1"/>
  <c r="C496" i="2"/>
  <c r="C495" i="2" s="1"/>
  <c r="C452" i="2"/>
  <c r="C451" i="2" s="1"/>
  <c r="C582" i="2"/>
  <c r="C581" i="2" s="1"/>
  <c r="C91" i="1"/>
  <c r="C90" i="1" s="1"/>
  <c r="C85" i="1" l="1"/>
  <c r="C384" i="2"/>
  <c r="C364" i="2"/>
  <c r="C360" i="2"/>
  <c r="C343" i="2"/>
  <c r="C152" i="2"/>
  <c r="C141" i="2"/>
  <c r="C10" i="2"/>
  <c r="C339" i="2"/>
  <c r="C326" i="2" s="1"/>
  <c r="C309" i="2" l="1"/>
  <c r="C308" i="2" s="1"/>
  <c r="C149" i="1" l="1"/>
  <c r="C199" i="2"/>
  <c r="C654" i="2" s="1"/>
  <c r="C163" i="2" l="1"/>
  <c r="C148" i="1"/>
  <c r="C162" i="2" l="1"/>
  <c r="C27" i="2"/>
  <c r="C9" i="2"/>
  <c r="E33" i="5"/>
  <c r="E20" i="5" s="1"/>
  <c r="F33" i="5"/>
  <c r="F20" i="5" s="1"/>
  <c r="E17" i="5"/>
  <c r="F17" i="5"/>
  <c r="E14" i="5"/>
  <c r="F14" i="5"/>
  <c r="E11" i="5"/>
  <c r="F11" i="5"/>
  <c r="F10" i="5" s="1"/>
  <c r="E10" i="5" l="1"/>
  <c r="G33" i="5"/>
  <c r="G20" i="5" s="1"/>
  <c r="G17" i="5"/>
  <c r="G14" i="5"/>
  <c r="E8" i="5"/>
  <c r="G11" i="5"/>
  <c r="F8" i="5"/>
  <c r="C206" i="1"/>
  <c r="C65" i="1" s="1"/>
  <c r="C620" i="2"/>
  <c r="C619" i="2" s="1"/>
  <c r="C616" i="2"/>
  <c r="C612" i="2"/>
  <c r="C611" i="2" s="1"/>
  <c r="C608" i="2"/>
  <c r="C607" i="2" s="1"/>
  <c r="C446" i="2"/>
  <c r="C442" i="2"/>
  <c r="C574" i="2"/>
  <c r="C22" i="1"/>
  <c r="C24" i="1"/>
  <c r="C15" i="1"/>
  <c r="C406" i="2" l="1"/>
  <c r="G10" i="5"/>
  <c r="G8" i="5" s="1"/>
  <c r="F36" i="5"/>
  <c r="C21" i="1"/>
  <c r="C14" i="1" s="1"/>
  <c r="C205" i="1"/>
  <c r="C615" i="2"/>
  <c r="C64" i="1"/>
  <c r="C445" i="2"/>
  <c r="C407" i="2" s="1"/>
  <c r="C573" i="2"/>
  <c r="E36" i="5" l="1"/>
  <c r="G36" i="5" s="1"/>
  <c r="C441" i="2"/>
  <c r="C39" i="1"/>
  <c r="C38" i="1" s="1"/>
  <c r="C28" i="1" l="1"/>
  <c r="C27" i="1" s="1"/>
  <c r="C405" i="2"/>
  <c r="C114" i="2" l="1"/>
  <c r="C657" i="2" s="1"/>
  <c r="C104" i="2"/>
  <c r="C103" i="2"/>
  <c r="C98" i="2"/>
  <c r="C84" i="2"/>
  <c r="C79" i="2"/>
  <c r="C126" i="2"/>
  <c r="C117" i="2" s="1"/>
  <c r="C650" i="2" l="1"/>
  <c r="C649" i="2" s="1"/>
  <c r="C72" i="2"/>
  <c r="C113" i="2"/>
  <c r="C112" i="2" s="1"/>
  <c r="C71" i="2" l="1"/>
  <c r="C383" i="2"/>
  <c r="C342" i="2"/>
  <c r="C156" i="2"/>
  <c r="C56" i="1"/>
  <c r="C55" i="1" s="1"/>
  <c r="C151" i="2" l="1"/>
  <c r="C148" i="2"/>
  <c r="C147" i="2" s="1"/>
  <c r="C140" i="2" s="1"/>
  <c r="C60" i="1"/>
  <c r="C59" i="1" s="1"/>
  <c r="C11" i="1" l="1"/>
  <c r="C10" i="1" s="1"/>
  <c r="C9" i="1" s="1"/>
  <c r="C52" i="1" l="1"/>
  <c r="C51" i="1" s="1"/>
  <c r="C50" i="1" l="1"/>
  <c r="C34" i="2"/>
  <c r="C26" i="2"/>
  <c r="C33" i="2" l="1"/>
  <c r="C292" i="2"/>
  <c r="C291" i="2" s="1"/>
  <c r="C359" i="2" l="1"/>
  <c r="C135" i="2" l="1"/>
  <c r="C134" i="2" s="1"/>
  <c r="C116" i="2" l="1"/>
  <c r="C210" i="1"/>
  <c r="C217" i="1"/>
  <c r="C379" i="2"/>
  <c r="C377" i="2"/>
  <c r="C209" i="1" l="1"/>
  <c r="C660" i="2"/>
  <c r="C373" i="2"/>
  <c r="C372" i="2" s="1"/>
  <c r="C656" i="2" l="1"/>
  <c r="C363" i="2"/>
  <c r="C648" i="2" l="1"/>
</calcChain>
</file>

<file path=xl/sharedStrings.xml><?xml version="1.0" encoding="utf-8"?>
<sst xmlns="http://schemas.openxmlformats.org/spreadsheetml/2006/main" count="2749" uniqueCount="963">
  <si>
    <t>(Córdobas)</t>
  </si>
  <si>
    <t>Renglón</t>
  </si>
  <si>
    <t>Descripción</t>
  </si>
  <si>
    <t>Monto</t>
  </si>
  <si>
    <t>Fuente</t>
  </si>
  <si>
    <t>REASIGNACIONES</t>
  </si>
  <si>
    <t xml:space="preserve"> (Córdobas)</t>
  </si>
  <si>
    <t>REDUCCIONES</t>
  </si>
  <si>
    <t>MONTO</t>
  </si>
  <si>
    <t>ASIGNACIONES</t>
  </si>
  <si>
    <t>Ingresos Corrientes</t>
  </si>
  <si>
    <t xml:space="preserve"> Ingresos Tributarios</t>
  </si>
  <si>
    <t xml:space="preserve">   Sobre los Ingresos</t>
  </si>
  <si>
    <t xml:space="preserve">     Impuesto sobre la Renta</t>
  </si>
  <si>
    <t xml:space="preserve">     Otros Impuestos Directos</t>
  </si>
  <si>
    <t xml:space="preserve">     Transferencia de Bienes</t>
  </si>
  <si>
    <t xml:space="preserve">     Impuesto Extraordinario de la Banca Privada</t>
  </si>
  <si>
    <t xml:space="preserve">   Sobre la Producción, Consumo y Transacciones Internas</t>
  </si>
  <si>
    <t xml:space="preserve">     Impuesto al Valor Agregado IVA</t>
  </si>
  <si>
    <t xml:space="preserve">     Impuesto Selectivo al Consumo (ISC)</t>
  </si>
  <si>
    <t xml:space="preserve">       Rones y Aguardientes</t>
  </si>
  <si>
    <t xml:space="preserve">       Cervezas</t>
  </si>
  <si>
    <t xml:space="preserve">       Bebidas Gaseosas</t>
  </si>
  <si>
    <t xml:space="preserve">       Derivados del Petróleo</t>
  </si>
  <si>
    <t xml:space="preserve">       Otros Selectivos al Consumo</t>
  </si>
  <si>
    <t xml:space="preserve">       Impuesto Selectivo al Consumo a la Importación</t>
  </si>
  <si>
    <t xml:space="preserve">     Impuesto de Timbres Fiscales (ITF)</t>
  </si>
  <si>
    <t xml:space="preserve">     Impuestos sobre el Comercio Exterior</t>
  </si>
  <si>
    <t xml:space="preserve">       Derechos Arancelarios a la Importación (DAI)</t>
  </si>
  <si>
    <t xml:space="preserve">       Arancel Temporal de Protección (ATP)</t>
  </si>
  <si>
    <t xml:space="preserve">       Impuesto al Valor Agregado de las Importaciones</t>
  </si>
  <si>
    <t xml:space="preserve">       35% a Bienes y Servicios de procedencia u origen Hondureño y Colombiano</t>
  </si>
  <si>
    <t xml:space="preserve"> Ingresos no Tributarios</t>
  </si>
  <si>
    <t xml:space="preserve">           Tasas</t>
  </si>
  <si>
    <t xml:space="preserve">              Servicios de Importaciones</t>
  </si>
  <si>
    <t xml:space="preserve">              Otros Servicios del Sector Forestal</t>
  </si>
  <si>
    <t xml:space="preserve">           Derechos</t>
  </si>
  <si>
    <t xml:space="preserve">              Derechos Consulares</t>
  </si>
  <si>
    <t xml:space="preserve">              Derecho de Superficie Exploración Sector Minero</t>
  </si>
  <si>
    <t xml:space="preserve">              Derecho sobre Explotación Sector Minero</t>
  </si>
  <si>
    <t xml:space="preserve">              Derecho de Explotación de Recursos Geotérmicos</t>
  </si>
  <si>
    <t xml:space="preserve">              Derechos por Aprovechamiento a los Recursos Pesqueros</t>
  </si>
  <si>
    <t xml:space="preserve">              Derecho de Aprovechamiento Sector Forestal</t>
  </si>
  <si>
    <t xml:space="preserve">              Derechos de Vigencia del Sector Forestal</t>
  </si>
  <si>
    <t xml:space="preserve">              Derechos de Vigencia del Sector Pesca</t>
  </si>
  <si>
    <t xml:space="preserve">           Multas</t>
  </si>
  <si>
    <t xml:space="preserve">              Multas al Sector Forestal</t>
  </si>
  <si>
    <t xml:space="preserve">              Multas por derecho de Superficie y Explotación Minera</t>
  </si>
  <si>
    <t xml:space="preserve">              Multas por Infracciones de Tránsito</t>
  </si>
  <si>
    <t xml:space="preserve">              Multas del Sector Pesca</t>
  </si>
  <si>
    <t xml:space="preserve">              Otras Multas</t>
  </si>
  <si>
    <t xml:space="preserve">          Subastas</t>
  </si>
  <si>
    <t xml:space="preserve">              Subastas por Decomiso</t>
  </si>
  <si>
    <t xml:space="preserve">           Otros Ingresos No Tributarios</t>
  </si>
  <si>
    <t xml:space="preserve">               Otros Ingresos No Tributarios</t>
  </si>
  <si>
    <t xml:space="preserve">              Rentas con Destino Específico</t>
  </si>
  <si>
    <t xml:space="preserve">               Prima Ganada en Colocación de Deuda Interna</t>
  </si>
  <si>
    <t xml:space="preserve">              Ingresos e Intereses por Glosas</t>
  </si>
  <si>
    <t>Ingresos de Capital</t>
  </si>
  <si>
    <t xml:space="preserve">  Venta de Bienes Inmuebles</t>
  </si>
  <si>
    <t xml:space="preserve">PRESUPUESTO DE INGRESOS </t>
  </si>
  <si>
    <t>Reducción</t>
  </si>
  <si>
    <t>Total Ingresos</t>
  </si>
  <si>
    <t xml:space="preserve">INCREMENTOS </t>
  </si>
  <si>
    <t xml:space="preserve">REDUCCIONES </t>
  </si>
  <si>
    <t>Ministerio de Energía y Minas</t>
  </si>
  <si>
    <t>Gasto Corriente</t>
  </si>
  <si>
    <t>Retribución por estudios y asesoramiento técnico</t>
  </si>
  <si>
    <t>Rentas del Tesoro</t>
  </si>
  <si>
    <t>Estudios, investigaciones y proyectos de factibilidad</t>
  </si>
  <si>
    <t>Retribución por estudios y asesoramiento técnicos</t>
  </si>
  <si>
    <t>Otros materiales y suministros</t>
  </si>
  <si>
    <t>Gastos de Capital</t>
  </si>
  <si>
    <t>PIP</t>
  </si>
  <si>
    <t>Electrificación Rural</t>
  </si>
  <si>
    <t>Rentas del Tesoro/Alivio BID</t>
  </si>
  <si>
    <t>Preinversión y Estudios de Proyectos de Generación de Energía Renovable (PNESER C-4)</t>
  </si>
  <si>
    <t>Expansión de Cobertura en Zonas Aisladas con fuentes Renovables (PNESER C-3)</t>
  </si>
  <si>
    <t>Instalación de Sistemas Solares Térmicos en Instituciones Públicas (PNESER C-5)</t>
  </si>
  <si>
    <t>Préstamo BID</t>
  </si>
  <si>
    <t>Préstamo BCIE</t>
  </si>
  <si>
    <t>Gastos Corriente</t>
  </si>
  <si>
    <t>Otros servicios técnicos y profesionales</t>
  </si>
  <si>
    <t>Imprenta, publicaciones y reproducciones</t>
  </si>
  <si>
    <t>Servicios de vigilancia</t>
  </si>
  <si>
    <t>Otros servicios</t>
  </si>
  <si>
    <t>Combustibles y lubricantes</t>
  </si>
  <si>
    <t>Repuestos y accesorios</t>
  </si>
  <si>
    <t>Gastos de  Capital</t>
  </si>
  <si>
    <t>Equipo de oficina y muebles</t>
  </si>
  <si>
    <t>Sueldos cargos permanentes</t>
  </si>
  <si>
    <t>Decimo tercer mes</t>
  </si>
  <si>
    <t>Agua y alcantarillado</t>
  </si>
  <si>
    <t>Alquiler de edificios y locales</t>
  </si>
  <si>
    <t>Gasto de Capital</t>
  </si>
  <si>
    <t>Ministerio de Hacienda y Crédito Publico</t>
  </si>
  <si>
    <t>Energía Eléctrica</t>
  </si>
  <si>
    <t xml:space="preserve">Retribución por estudios y asesoramientos técnicos </t>
  </si>
  <si>
    <t>Préstamo BM</t>
  </si>
  <si>
    <t>Cursos de capacitación</t>
  </si>
  <si>
    <t>Equipos para computación</t>
  </si>
  <si>
    <t>Donación UE</t>
  </si>
  <si>
    <t>Ministerio de la Familia, Adolescencia y Niñez</t>
  </si>
  <si>
    <t>Otros servicios personales</t>
  </si>
  <si>
    <t>Ministerio de Transporte e Infraestructura</t>
  </si>
  <si>
    <t>Construcción de la Carretera La Providencia - Monkey Point</t>
  </si>
  <si>
    <t>Mejoramiento del Camino Nagarote - Venecia</t>
  </si>
  <si>
    <t>Mejoramiento del Camino La Paz Centro - Empalme Puerto Sandino</t>
  </si>
  <si>
    <t>Mejoramiento de la Carretera Las Piedrecitas (Km 6 + 830) - Mateare</t>
  </si>
  <si>
    <t>Mejoramiento del Acceso a la Ciudad de Chinandega</t>
  </si>
  <si>
    <t>Mejoramiento del Camino Moyogalpa - La Flor - Altagracia</t>
  </si>
  <si>
    <t>Corte Suprema de Justicia</t>
  </si>
  <si>
    <t>Rentas con Destino Específico</t>
  </si>
  <si>
    <t>Pasajes al exterior</t>
  </si>
  <si>
    <t>Viáticos para el interior</t>
  </si>
  <si>
    <t>Viáticos para el exterior</t>
  </si>
  <si>
    <t>Llantas y neumáticos</t>
  </si>
  <si>
    <t>Combustible y lubricantes</t>
  </si>
  <si>
    <t>Consejo Supremo Electoral</t>
  </si>
  <si>
    <t>De informática y sistemas computarizados</t>
  </si>
  <si>
    <t>Productos de artes graficas</t>
  </si>
  <si>
    <t>Útiles de oficinas</t>
  </si>
  <si>
    <t>Ministerio de Ambiente y de los Recursos Naturales</t>
  </si>
  <si>
    <t>Mantenimiento y reparación de edificios y locales</t>
  </si>
  <si>
    <t>Publicidad y propaganda</t>
  </si>
  <si>
    <t>Otro gasto de capital</t>
  </si>
  <si>
    <t>Prestamos BID</t>
  </si>
  <si>
    <t>Otros aportes para otros gastos de cap. en efectivo y especies al sector privado</t>
  </si>
  <si>
    <t>Asamblea Nacional</t>
  </si>
  <si>
    <t>Remodelación de la recepción principal en el edificio Benjamín Zeledón de la Asamblea Nacional</t>
  </si>
  <si>
    <t>Ministerio de Economía Familiar, Comunitaria, Cooperativa y Asociativa</t>
  </si>
  <si>
    <t>Energía eléctrica</t>
  </si>
  <si>
    <t>Mantenimiento y reparación de medios de transporte, tracción y elevación</t>
  </si>
  <si>
    <t>Mantenimiento y reparación de maquinaria y equipo</t>
  </si>
  <si>
    <t>Útiles de oficina</t>
  </si>
  <si>
    <t>Sueldos cargos transitorios</t>
  </si>
  <si>
    <t>Rentas de Tesoro</t>
  </si>
  <si>
    <t>Otros productos químicos</t>
  </si>
  <si>
    <t>Construcción de la infraestructura del Laboratorio Nacional de Metrología (LANAMET)</t>
  </si>
  <si>
    <t>Ministerio de la Mujer</t>
  </si>
  <si>
    <t>Cuotas a organismos internacionales</t>
  </si>
  <si>
    <t>Ministerio de Educación</t>
  </si>
  <si>
    <t>Otros Servicios técnicos y profesionales</t>
  </si>
  <si>
    <t>Mejoramiento de Establecimientos Escolares en Secundaria en la Región del Centro</t>
  </si>
  <si>
    <t>Ministerio del Trabajo</t>
  </si>
  <si>
    <t>Otros Servicios no personales</t>
  </si>
  <si>
    <t>Vestuarios</t>
  </si>
  <si>
    <t>Papel de escritorio y cartón</t>
  </si>
  <si>
    <t xml:space="preserve">Productos elaborados en papel o cartón </t>
  </si>
  <si>
    <t xml:space="preserve">Llantas y neumáticos </t>
  </si>
  <si>
    <t>Productos sanitarios y útiles domésticos</t>
  </si>
  <si>
    <t>Ministerio de la Juventud</t>
  </si>
  <si>
    <t>Ministerio de Gobernación</t>
  </si>
  <si>
    <t>Despidos</t>
  </si>
  <si>
    <t>Acabados textiles</t>
  </si>
  <si>
    <t>Útiles de cocina y comedor</t>
  </si>
  <si>
    <t>Otras maquinarias y equipos</t>
  </si>
  <si>
    <t>Sueldos de cargos permanentes</t>
  </si>
  <si>
    <t xml:space="preserve">Décimo tercer mes </t>
  </si>
  <si>
    <t>Aporte patronal</t>
  </si>
  <si>
    <t>Otras compensaciones adicionales al sueldo</t>
  </si>
  <si>
    <t>Alimentos para personas</t>
  </si>
  <si>
    <t>Especies fiscales y valores</t>
  </si>
  <si>
    <t>Productos sintéticos</t>
  </si>
  <si>
    <t>Aporte estatal al ISSDHU</t>
  </si>
  <si>
    <t>Mejoramiento de los Sistemas de Información de la Dirección General de Migración y Extranjería</t>
  </si>
  <si>
    <t>Mejoramiento de los Sistemas de Comunicación e Información de la Dirección General de Bomberos de Nicaragua</t>
  </si>
  <si>
    <t>Construcción de la Academia Nacional de Bomberos, Managua</t>
  </si>
  <si>
    <t>Rehabilitación y Ampliación de los Centros Penitenciarios del País</t>
  </si>
  <si>
    <t>Maquinaria y equipo de transporte y tracción (PN)</t>
  </si>
  <si>
    <t>Ministerio de Defensa</t>
  </si>
  <si>
    <t>Agua y Alcantarillado (EN)</t>
  </si>
  <si>
    <t>Alquiler de edificios y locales (EN)</t>
  </si>
  <si>
    <t>Mantenimiento y reparación de edificios y locales (EN)</t>
  </si>
  <si>
    <t>Mantenimiento y reparación de medios de transporte tracción y elevación (EN)</t>
  </si>
  <si>
    <t>Mantenimiento y reparación de maquinarias y equipos (EN)</t>
  </si>
  <si>
    <t>Pasajes para el interior (EN)</t>
  </si>
  <si>
    <t>Pasajes para el exterior (EN)</t>
  </si>
  <si>
    <t>Viáticos para el interior (EN)</t>
  </si>
  <si>
    <t>Viáticos para el exterior (EN)</t>
  </si>
  <si>
    <t>Alimentos para animales (EN)</t>
  </si>
  <si>
    <t>Hilados y telas (EN)</t>
  </si>
  <si>
    <t>Acabados textiles (EN)</t>
  </si>
  <si>
    <t>Vestuarios (EN)</t>
  </si>
  <si>
    <t>Papel de escritorio y cartón (EN)</t>
  </si>
  <si>
    <t>Productos elaborados en papel o cartón (EN)</t>
  </si>
  <si>
    <t>Productos de artes gráficas (EN)</t>
  </si>
  <si>
    <t>Libros, revistas y periódicos (EN)</t>
  </si>
  <si>
    <t>Calzado y artículos de cuero y pieles (EN)</t>
  </si>
  <si>
    <t>Llantas y neumáticos (EN)</t>
  </si>
  <si>
    <t>Productos medicinales y farmacéuticos (EN)</t>
  </si>
  <si>
    <t>Otros productos químicos (EN)</t>
  </si>
  <si>
    <t>Productos elaborados de metal (EN)</t>
  </si>
  <si>
    <t>Herramientas menores (EN)</t>
  </si>
  <si>
    <t>Útiles de oficinas (EN)</t>
  </si>
  <si>
    <t>Útiles deportivos y recreativos (EN)</t>
  </si>
  <si>
    <t>Productos sanitarios y útiles domésticos (EN)</t>
  </si>
  <si>
    <t>Útiles de cocina y comedor (EN)</t>
  </si>
  <si>
    <t>Útiles menores médico quirúrgicos y de laboratorios (EN)</t>
  </si>
  <si>
    <t>Becas y estudios de perfeccionamiento en el país (EN)</t>
  </si>
  <si>
    <t>Becas y estudios de perfeccionamiento en el extranjero (EN)</t>
  </si>
  <si>
    <t>Ministerio de Relaciones Exteriores</t>
  </si>
  <si>
    <t>Décimo tercer mes</t>
  </si>
  <si>
    <t>Compensación por antigüedad</t>
  </si>
  <si>
    <t xml:space="preserve">Gastos de representación en el exterior </t>
  </si>
  <si>
    <t>Beneficios sociales al trabajador</t>
  </si>
  <si>
    <t>Pago por vacaciones</t>
  </si>
  <si>
    <t>Aporte patronal al INATEC</t>
  </si>
  <si>
    <t>Equipo de comunicación y señalamiento</t>
  </si>
  <si>
    <t xml:space="preserve">Equipo para computación </t>
  </si>
  <si>
    <t>Presidencia de la República</t>
  </si>
  <si>
    <t>Aporte patronal (Vice Presidencia)</t>
  </si>
  <si>
    <t>Construcción y Equipamiento de Centros de Desarrollo Infantil</t>
  </si>
  <si>
    <t>Donación Gobierno de Taiwán</t>
  </si>
  <si>
    <t>Asignaciones y Subvenciones</t>
  </si>
  <si>
    <t>Pensiones y jubilaciones</t>
  </si>
  <si>
    <t>Donación FNUAP</t>
  </si>
  <si>
    <t>Procuraduría General de la República</t>
  </si>
  <si>
    <t>Productos medicinales y farmacéuticos</t>
  </si>
  <si>
    <t>Teléfonos, télex y telefax nacionales</t>
  </si>
  <si>
    <t>Contraloría General de la República</t>
  </si>
  <si>
    <t>Teléfonos, télex y telefax nacionales (EN)</t>
  </si>
  <si>
    <t>Teléfonos, télex y telefax internacional (EN)</t>
  </si>
  <si>
    <t>Otros pasajes y viáticos (EN)</t>
  </si>
  <si>
    <t>Repuestos y accesorios (EN)</t>
  </si>
  <si>
    <t>Herramientas y repuestos mayores (EN)</t>
  </si>
  <si>
    <t>Viáticos para el  interior</t>
  </si>
  <si>
    <t>Productos elaborados en papel o cartón</t>
  </si>
  <si>
    <t>Mantenimiento y reparación de  obras y equipos de seguridad y defensa (EN)</t>
  </si>
  <si>
    <t xml:space="preserve">Calzados y artículos de cuero y pieles </t>
  </si>
  <si>
    <t>Instalación de Sistemas Fotovoltaicos en Zonas Rurales del Sector Agropecuario (PNESER C-5)</t>
  </si>
  <si>
    <t>Consejo Nacional del Deporte, la Educación Física y la Recreación Física</t>
  </si>
  <si>
    <t xml:space="preserve">Aportes a las municipalidades para instalaciones deportivas </t>
  </si>
  <si>
    <t xml:space="preserve">Mejoramiento y ampliación de estadios </t>
  </si>
  <si>
    <t>Transferencia a las municipalidades</t>
  </si>
  <si>
    <t>Rentas con Destino Especifico</t>
  </si>
  <si>
    <t>Transferencias a las Alcaldías por Recaudación del Impuesto Selectivo de Consumo (ISC-IMI)</t>
  </si>
  <si>
    <t>Transferencia a las Alcaldías por Recaudaciones de Exploración y Explotación Minera</t>
  </si>
  <si>
    <t>Transferencia Municipal</t>
  </si>
  <si>
    <t>Transferencia a las Municipalidades</t>
  </si>
  <si>
    <t>Transferencia Municipal (Proyectos de Inversión)</t>
  </si>
  <si>
    <t>Otros subsidios sociales al sector privado</t>
  </si>
  <si>
    <t>Saldos de Rentas con Destino Especifico de Años anteriores</t>
  </si>
  <si>
    <t>Transferencias a las Alcaldías y Comunidades Indígenas por Recaudación de Aprovechamiento y Servicio Forestal</t>
  </si>
  <si>
    <t>Pasajes para el interior</t>
  </si>
  <si>
    <t>Servicio de la Deuda Pública Interna</t>
  </si>
  <si>
    <t xml:space="preserve">Amortización </t>
  </si>
  <si>
    <t>Intereses</t>
  </si>
  <si>
    <t xml:space="preserve">Comisiones </t>
  </si>
  <si>
    <t>Total</t>
  </si>
  <si>
    <t>Sector Privado</t>
  </si>
  <si>
    <t>Bonos</t>
  </si>
  <si>
    <t>Bonos de la República de Nicaragua</t>
  </si>
  <si>
    <t>Velo Filomena López Palacios</t>
  </si>
  <si>
    <t>Certificados de Pago (BPI)</t>
  </si>
  <si>
    <t>Certificados Estandarizados (Desmaterializados)</t>
  </si>
  <si>
    <t>Otros</t>
  </si>
  <si>
    <t>Sentencias Judiciales y Otras Deudas Contigentes</t>
  </si>
  <si>
    <t>Impacto Reforma de Seguridad Social</t>
  </si>
  <si>
    <t>Otros pagos asociados a deuda interna</t>
  </si>
  <si>
    <t>Servicio de la Deuda Externa</t>
  </si>
  <si>
    <t>Otros Bilaterales</t>
  </si>
  <si>
    <t>Nuevas Deudas Bilaterales</t>
  </si>
  <si>
    <t>Agencia Internacional de Japón (JICA)</t>
  </si>
  <si>
    <t>Multilaterales</t>
  </si>
  <si>
    <t>Nuevas Deudas Multilaterales</t>
  </si>
  <si>
    <t>Asociación Internacional de Fomento (AIF)</t>
  </si>
  <si>
    <t>Banco Interamericano de Desarrollo (BID)</t>
  </si>
  <si>
    <t>Aportes y Contribuciones a Organismos Internacionales</t>
  </si>
  <si>
    <t>Otros Pagos Asociados a Deuda Externa</t>
  </si>
  <si>
    <t>Compra de Divisas 1%</t>
  </si>
  <si>
    <t>TOTAL SERVICIO DE LA DEUDA PUBLICA</t>
  </si>
  <si>
    <t>Otros servicios no personales</t>
  </si>
  <si>
    <t>Donación Gobierno de EEUU</t>
  </si>
  <si>
    <t>Jornales por décimo tercer mes</t>
  </si>
  <si>
    <t>Aporte patronal personal transitorio</t>
  </si>
  <si>
    <t>Horas extraordinarias personal permanente</t>
  </si>
  <si>
    <t>Aporte patronal por horas extraordinarias</t>
  </si>
  <si>
    <t>Otros beneficios y compensaciones</t>
  </si>
  <si>
    <t>Telefonía celular nacional</t>
  </si>
  <si>
    <t>Otros servicios básicos</t>
  </si>
  <si>
    <t>Alquiler de maquinaria, equipo y medios de transporte</t>
  </si>
  <si>
    <t>Limpieza, aseo y fumigación</t>
  </si>
  <si>
    <t>Otros Servicios Técnicos y Profesionales</t>
  </si>
  <si>
    <t>Primas y gastos de seguros</t>
  </si>
  <si>
    <t>Comisiones y gastos por transacciones</t>
  </si>
  <si>
    <t>Atenciones sociales</t>
  </si>
  <si>
    <t>Bebidas no alcohólicas</t>
  </si>
  <si>
    <t>Alimentos para animales</t>
  </si>
  <si>
    <t>Madera, corcho y sus manufacturas</t>
  </si>
  <si>
    <t>Hilados y telas</t>
  </si>
  <si>
    <t>Productos de artes gráficas</t>
  </si>
  <si>
    <t>Calzados y artículos de cuero y pieles</t>
  </si>
  <si>
    <t>Artículos de caucho</t>
  </si>
  <si>
    <t>Otros productos de cuero y caucho</t>
  </si>
  <si>
    <t>Elementos y compuestos químicos</t>
  </si>
  <si>
    <t>Insecticidas, fungicidas y similares</t>
  </si>
  <si>
    <t>Tintes, pinturas y colorantes</t>
  </si>
  <si>
    <t>De vidrio</t>
  </si>
  <si>
    <t>De loza y porcelana</t>
  </si>
  <si>
    <t>Productos elaborados de metal</t>
  </si>
  <si>
    <t>Herramientas menores</t>
  </si>
  <si>
    <t>Otros productos metálicos</t>
  </si>
  <si>
    <t>Artículos para instalaciones</t>
  </si>
  <si>
    <t>Útiles menores médico-quirúrgicos y de laboratorio</t>
  </si>
  <si>
    <t>Prestamos BCIE</t>
  </si>
  <si>
    <t>Edificios e Instalaciones Usadas</t>
  </si>
  <si>
    <t>Donación Banco Mundial</t>
  </si>
  <si>
    <t>Equipo médico y de salud</t>
  </si>
  <si>
    <t>Donación BM</t>
  </si>
  <si>
    <t>Instituto de Protección y Sanidad Agropecuaria</t>
  </si>
  <si>
    <t>Otras transferencias para entes autónomos no empresariales</t>
  </si>
  <si>
    <t>Entes autónomos no empresariales</t>
  </si>
  <si>
    <t>Fortalecimiento de capacidades para adaptación al cambio climático</t>
  </si>
  <si>
    <t>Donación Gobierno de Japón</t>
  </si>
  <si>
    <t>Ministerio de Salud</t>
  </si>
  <si>
    <t>Donación Fondo Mundial de Rehabilitación</t>
  </si>
  <si>
    <t>Aporte patronal INATEC</t>
  </si>
  <si>
    <t>Préstamo Banco Mundial</t>
  </si>
  <si>
    <t xml:space="preserve">Donación BID </t>
  </si>
  <si>
    <t xml:space="preserve">Préstamo BID </t>
  </si>
  <si>
    <t>Rehabilitación de Puestos de Salud Familiar y Comunitario</t>
  </si>
  <si>
    <t>Construcción Casas Maternas</t>
  </si>
  <si>
    <t xml:space="preserve">Rehabilitación  Centro de Salud Familiar  La Concordia. </t>
  </si>
  <si>
    <t>Construcción Hospital Primario San José de Bocay, Jinotega</t>
  </si>
  <si>
    <t>Rehabilitación del Hospital Departamental Alemán Nicaragüense</t>
  </si>
  <si>
    <t>Rehabilitación del Hospital Departamental Victoria Motta de Jinotega</t>
  </si>
  <si>
    <t>Mejoramiento Unidades de Salud Silais Matagalpa</t>
  </si>
  <si>
    <t>Donación Gobierno de Luxemburgo</t>
  </si>
  <si>
    <t>Rehabilitación Casas Maternas</t>
  </si>
  <si>
    <t>Ampliación Centro de Salud Familiar San Ramón</t>
  </si>
  <si>
    <t>Equipamiento Médico para Unidades de Salud de Primer Nivel</t>
  </si>
  <si>
    <t xml:space="preserve">Préstamos </t>
  </si>
  <si>
    <t>Donaciones</t>
  </si>
  <si>
    <t>Cooperativas de Transporte Urbano Colectivo del Municipio de Managua y Municipio de Ciudad Sandino</t>
  </si>
  <si>
    <t>Otros subsidios económicos al sector privado</t>
  </si>
  <si>
    <t>Comisiones Bancarias</t>
  </si>
  <si>
    <t>Comisiones y gastos por transacciones bancarias</t>
  </si>
  <si>
    <t xml:space="preserve">Secretaria de Integración Económica Centroamericana </t>
  </si>
  <si>
    <t>Corte Centroamericana de Justicia</t>
  </si>
  <si>
    <t>Fondo para Adquisición de Viviendas de Interés Social</t>
  </si>
  <si>
    <t>Gasto corriente</t>
  </si>
  <si>
    <t xml:space="preserve">Otras transferencias </t>
  </si>
  <si>
    <t>Otros gastos de mantenimiento, reparación y limpieza</t>
  </si>
  <si>
    <t>Herramientas y Repuestos</t>
  </si>
  <si>
    <t>Donación Fondo de Desarrollo Nórdico</t>
  </si>
  <si>
    <t>Mejoramiento y ampliación del complejo del Instituto Nicaragüense de Deportes</t>
  </si>
  <si>
    <t>Servicio de la Deuda Pública</t>
  </si>
  <si>
    <t>Otras transferencias para entes autónomas no empresariales</t>
  </si>
  <si>
    <t>Otros aportes</t>
  </si>
  <si>
    <t>Autoridad Nacional del Agua</t>
  </si>
  <si>
    <t>Comisión Nacional de Demarcación y Titulación</t>
  </si>
  <si>
    <t>Comisión Nacional de Microfinanzas</t>
  </si>
  <si>
    <t>Consejo Nacional contra el Crimen Organizado</t>
  </si>
  <si>
    <t>Consejo Nacional de Planificación Económica Social</t>
  </si>
  <si>
    <t>Dirección General de Ingresos</t>
  </si>
  <si>
    <t>Dirección General de Servicios Aduaneros</t>
  </si>
  <si>
    <t>Empresa Nacional de Transmisión Eléctrica</t>
  </si>
  <si>
    <t>Mejoramiento de la terminal portuaria lacustre en el municipio de San Jorge</t>
  </si>
  <si>
    <t>Donación BID</t>
  </si>
  <si>
    <t>Fondo de Desarrollo Minero</t>
  </si>
  <si>
    <t>Fondo Nacional de Desarrollo Forestal</t>
  </si>
  <si>
    <t>Instituto contra el Alcoholismo y la Drogadicción</t>
  </si>
  <si>
    <t>Instituto de la Vivienda Urbana y Rural</t>
  </si>
  <si>
    <t>Préstamo OPEP</t>
  </si>
  <si>
    <t>Instituto Nacional de Promoción de la Competencia</t>
  </si>
  <si>
    <t>Instituto Nacional de Información de Desarrollo</t>
  </si>
  <si>
    <t>Otras transferencias para entes autónomos no empresariales (INAFOR)</t>
  </si>
  <si>
    <t>Instituto Nacional Tecnológico</t>
  </si>
  <si>
    <t>Ministerio Público</t>
  </si>
  <si>
    <t>Ordenamiento de la Propiedad</t>
  </si>
  <si>
    <t>PRONICARAGUA / PNUD</t>
  </si>
  <si>
    <t>Financiamiento de gastos de operación</t>
  </si>
  <si>
    <t>Radio Nicaragua</t>
  </si>
  <si>
    <t>Secretaria Ejecutiva del Sistema Nacional de Prevención, Mitigación y Atención de Desastres</t>
  </si>
  <si>
    <t>Donación Noruega</t>
  </si>
  <si>
    <t>Donación AECID</t>
  </si>
  <si>
    <t>Unidad de Análisis Financiero</t>
  </si>
  <si>
    <t>Universidades y Centros de Educación Técnica Superior</t>
  </si>
  <si>
    <t>Fondo de Inversión Social de Emergencia</t>
  </si>
  <si>
    <t>Proyecto de infraestructura en agua y saneamiento rural</t>
  </si>
  <si>
    <t>Donación COSUDE</t>
  </si>
  <si>
    <t>Fondo de Mantenimiento Vial</t>
  </si>
  <si>
    <t>Gobierno Regional Autónomo Atlántico Norte</t>
  </si>
  <si>
    <t>Gobierno Regional Autónomo Atlántico Sur</t>
  </si>
  <si>
    <t>Proyecto de infraestructura en protección, asistencia y seguridad social</t>
  </si>
  <si>
    <t>Donación KFW</t>
  </si>
  <si>
    <t>Mejoramiento de Sistema de Agua potable en el Cua</t>
  </si>
  <si>
    <t>Rehabilitación del sistema de agua potable en el casco urbano en El Tuma - La Dalia</t>
  </si>
  <si>
    <t>Construcción del alcantarillado condominial en el Cua</t>
  </si>
  <si>
    <t>Construcción del sistema de alcantarillado condominial del casco urbano de El Tuma - La Dalia</t>
  </si>
  <si>
    <t>Construcción de Obras de agua y saneamiento en escuelas de El Tuma - La Dalia</t>
  </si>
  <si>
    <t>Construcción de obras de agua y saneamiento en escuelas de San Ramón</t>
  </si>
  <si>
    <t>Construcción de obras de agua y saneamiento en escuelas de Matiguas</t>
  </si>
  <si>
    <t>Ampliación de la Cobertura del servicio sostenible de agua y saneamiento rural en la RAAN</t>
  </si>
  <si>
    <t>Ampliación de la Cobertura del servicio sostenible de agua y saneamiento rural en la RAAS</t>
  </si>
  <si>
    <t>Ampliación de la Cobertura del servicio sostenible de agua y saneamiento rural en Alto Wangki y Bocay</t>
  </si>
  <si>
    <t>Donación Gobierno EEUU</t>
  </si>
  <si>
    <t>Instituto Tecnológico Nacional</t>
  </si>
  <si>
    <t>Otros aportes - INTA</t>
  </si>
  <si>
    <t>Teatro Nacional Rubén Darío</t>
  </si>
  <si>
    <t>Alquiler de fotocopiadoras</t>
  </si>
  <si>
    <t>Donación Gobiernos Bilaterales Fondo Común PRORURAL</t>
  </si>
  <si>
    <t>Préstamos Gobierno de Italia</t>
  </si>
  <si>
    <t>Construcción y Equipamiento de oficina territorial del MEFCCA en San Carlos, Rio San Juan</t>
  </si>
  <si>
    <t>Primas y gastos de seguro</t>
  </si>
  <si>
    <t>TRANSFERENCIA</t>
  </si>
  <si>
    <t>CORRIENTE</t>
  </si>
  <si>
    <t>CAPITAL</t>
  </si>
  <si>
    <t>TOTAL</t>
  </si>
  <si>
    <t>DEPARTAMENTO DE BOACO</t>
  </si>
  <si>
    <t>SAN JOSE DE LOS REMATES</t>
  </si>
  <si>
    <t xml:space="preserve">BOACO </t>
  </si>
  <si>
    <t>CAMOAPA</t>
  </si>
  <si>
    <t>SANTA LUCIA</t>
  </si>
  <si>
    <t>TEUSTEPE</t>
  </si>
  <si>
    <t>SAN LORENZO</t>
  </si>
  <si>
    <t>DEPARTAMENTO DE CARAZO</t>
  </si>
  <si>
    <t>SAN MARCOS</t>
  </si>
  <si>
    <t>JINOTEPE</t>
  </si>
  <si>
    <t>DOLORES</t>
  </si>
  <si>
    <t>DIRIAMBA</t>
  </si>
  <si>
    <t>EL ROSARIO</t>
  </si>
  <si>
    <t>LA PAZ DE CARAZO</t>
  </si>
  <si>
    <t>SANTA TERESA</t>
  </si>
  <si>
    <t>LA CONQUISTA</t>
  </si>
  <si>
    <t>DEPARTAMENTO DE CHINANDEGA</t>
  </si>
  <si>
    <t>SAN PEDRO DEL NORTE</t>
  </si>
  <si>
    <t>SAN FRANCISCO DEL NORTE</t>
  </si>
  <si>
    <t>CINCO PINOS</t>
  </si>
  <si>
    <t>SANTO TOMAS DEL NORTE</t>
  </si>
  <si>
    <t>EL VIEJO</t>
  </si>
  <si>
    <t>PUERTO MORAZAN</t>
  </si>
  <si>
    <t>SOMOTILLO</t>
  </si>
  <si>
    <t>VILLANUEVA</t>
  </si>
  <si>
    <t>CHINANDEGA</t>
  </si>
  <si>
    <t>EL REALEJO</t>
  </si>
  <si>
    <t>CORINTO</t>
  </si>
  <si>
    <t>CHICHIGALPA</t>
  </si>
  <si>
    <t>POSOLTEGA</t>
  </si>
  <si>
    <t>DEPARTAMENTO DE CHONTALES</t>
  </si>
  <si>
    <t>COMALAPA</t>
  </si>
  <si>
    <t>SAN FRANCISCO DE CUAPA</t>
  </si>
  <si>
    <t>JUIGALPA</t>
  </si>
  <si>
    <t>LA LIBERTAD</t>
  </si>
  <si>
    <t>SANTO DOMINGO</t>
  </si>
  <si>
    <t xml:space="preserve">SANTO TOMAS </t>
  </si>
  <si>
    <t>SAN PEDRO DE LOVAGO</t>
  </si>
  <si>
    <t>ACOYAPA</t>
  </si>
  <si>
    <t>VILLA SANDINO</t>
  </si>
  <si>
    <t>EL CORAL</t>
  </si>
  <si>
    <t>DEPARTAMENTO DE ESTELI</t>
  </si>
  <si>
    <t>PUEBLO NUEVO</t>
  </si>
  <si>
    <t>CONDEGA</t>
  </si>
  <si>
    <t>ESTELI</t>
  </si>
  <si>
    <t>SAN JUAN DE LIMAY</t>
  </si>
  <si>
    <t>LA TRINIDAD</t>
  </si>
  <si>
    <t>SAN NICOLAS</t>
  </si>
  <si>
    <t>DEPARTAMENTO DE GRANADA</t>
  </si>
  <si>
    <t>DIRIA</t>
  </si>
  <si>
    <t>DIRIOMO</t>
  </si>
  <si>
    <t>GRANADA</t>
  </si>
  <si>
    <t>NANDAIME</t>
  </si>
  <si>
    <t>DEPARTAMENTO DE JINOTEGA</t>
  </si>
  <si>
    <t>WIWILI DE JINOTEGA</t>
  </si>
  <si>
    <t>EL CUA</t>
  </si>
  <si>
    <t>SANTA MARIA DE PANTASMA</t>
  </si>
  <si>
    <t>SAN RAFAEL DEL NORTE</t>
  </si>
  <si>
    <t>SAN SEBASTIAN DE YALI</t>
  </si>
  <si>
    <t>LA CONCORDIA</t>
  </si>
  <si>
    <t>JINOTEGA</t>
  </si>
  <si>
    <t>SAN JOSE DE BOCAY</t>
  </si>
  <si>
    <t>DEPARTAMENTO DE LEON</t>
  </si>
  <si>
    <t>ACHUAPA</t>
  </si>
  <si>
    <t>EL SAUCE</t>
  </si>
  <si>
    <t>SANTA ROSA DEL PEÑON</t>
  </si>
  <si>
    <t>EL JICARAL</t>
  </si>
  <si>
    <t>LARREYNAGA-MALPAISILLO</t>
  </si>
  <si>
    <t>TELICA</t>
  </si>
  <si>
    <t>QUEZALGUAQUE</t>
  </si>
  <si>
    <t>LEON</t>
  </si>
  <si>
    <t>LA PAZ CENTRO</t>
  </si>
  <si>
    <t>NAGAROTE</t>
  </si>
  <si>
    <t>DEPARTAMENTO DE MADRIZ</t>
  </si>
  <si>
    <t>SOMOTO</t>
  </si>
  <si>
    <t>TOTOGALPA</t>
  </si>
  <si>
    <t>TELPANECA</t>
  </si>
  <si>
    <t>SAN JUAN DE RIO COCO</t>
  </si>
  <si>
    <t>PALACAGUINA</t>
  </si>
  <si>
    <t>YALAGUINA</t>
  </si>
  <si>
    <t>SAN LUCAS</t>
  </si>
  <si>
    <t>LAS SABANAS</t>
  </si>
  <si>
    <t>SAN JOSE DE CUSMAPA</t>
  </si>
  <si>
    <t>DEPARTAMENTO DE MANAGUA</t>
  </si>
  <si>
    <t>SAN FRANCISCO LIBRE</t>
  </si>
  <si>
    <t>TIPITAPA</t>
  </si>
  <si>
    <t>MATEARE</t>
  </si>
  <si>
    <t>VILLA EL CARMEN</t>
  </si>
  <si>
    <t>CIUDAD SANDINO</t>
  </si>
  <si>
    <t>MANAGUA</t>
  </si>
  <si>
    <t>TICUANTEPE</t>
  </si>
  <si>
    <t>EL CRUCERO</t>
  </si>
  <si>
    <t>SAN RAFAEL DEL SUR</t>
  </si>
  <si>
    <t>DEPARTAMENTO DE MASAYA</t>
  </si>
  <si>
    <t>NINDIRI</t>
  </si>
  <si>
    <t xml:space="preserve">MASAYA </t>
  </si>
  <si>
    <t>TISMA</t>
  </si>
  <si>
    <t>LA CONCEPCION</t>
  </si>
  <si>
    <t>MASATEPE</t>
  </si>
  <si>
    <t>NANDASMO</t>
  </si>
  <si>
    <t>CATARINA</t>
  </si>
  <si>
    <t>SAN JUAN DE ORIENTE</t>
  </si>
  <si>
    <t>NIQUINOHOMO</t>
  </si>
  <si>
    <t>DEPARTAMENTO DE MATAGALPA</t>
  </si>
  <si>
    <t>RANCHO GRANDE</t>
  </si>
  <si>
    <t>RIO BLANCO</t>
  </si>
  <si>
    <t>EL TUMA - LA DALIA</t>
  </si>
  <si>
    <t>SAN ISIDRO</t>
  </si>
  <si>
    <t>SEBACO</t>
  </si>
  <si>
    <t xml:space="preserve">MATAGALPA </t>
  </si>
  <si>
    <t>SAN RAMON</t>
  </si>
  <si>
    <t>MATIGUAS</t>
  </si>
  <si>
    <t>MUY MUY</t>
  </si>
  <si>
    <t>ESQUIPULAS</t>
  </si>
  <si>
    <t>SAN DIONISIO</t>
  </si>
  <si>
    <t>TERRABONA</t>
  </si>
  <si>
    <t>CIUDAD DARIO</t>
  </si>
  <si>
    <t>DEPARTAMENTO DE NUEVA SEGOVIA</t>
  </si>
  <si>
    <t>JALAPA</t>
  </si>
  <si>
    <t>MURRA</t>
  </si>
  <si>
    <t>EL JICARO</t>
  </si>
  <si>
    <t>SAN FERNANDO</t>
  </si>
  <si>
    <t>MOZONTE</t>
  </si>
  <si>
    <t>DIPILTO</t>
  </si>
  <si>
    <t>MACUELIZO</t>
  </si>
  <si>
    <t xml:space="preserve">SANTA MARIA </t>
  </si>
  <si>
    <t>OCOTAL</t>
  </si>
  <si>
    <t>CIUDAD ANTIGUA</t>
  </si>
  <si>
    <t>QUILALI</t>
  </si>
  <si>
    <t>WIWILI DE NUEVA SEGOVIA</t>
  </si>
  <si>
    <t>REGION AUTONOMA ATLANTICO NORTE</t>
  </si>
  <si>
    <t>WASPAN</t>
  </si>
  <si>
    <t>PUERTO CABEZAS</t>
  </si>
  <si>
    <t>ROSITA</t>
  </si>
  <si>
    <t>BONANZA</t>
  </si>
  <si>
    <t>WASLALA</t>
  </si>
  <si>
    <t>SIUNA</t>
  </si>
  <si>
    <t>PRINZAPOLKA</t>
  </si>
  <si>
    <t>MULUKUKU</t>
  </si>
  <si>
    <t>REGION AUTONOMA ATLANTICO SUR</t>
  </si>
  <si>
    <t>PAIWAS</t>
  </si>
  <si>
    <t>LA CRUZ DE RIO GRANDE</t>
  </si>
  <si>
    <t>DESEMBOCADURA DE RIO GRANDE</t>
  </si>
  <si>
    <t>LAGUNA DE PERLAS</t>
  </si>
  <si>
    <t>EL TORTUGUERO</t>
  </si>
  <si>
    <t>EL RAMA</t>
  </si>
  <si>
    <t>EL AYOTE</t>
  </si>
  <si>
    <t>MUELLE DE LOS BUEYES</t>
  </si>
  <si>
    <t>KUKRA HILL</t>
  </si>
  <si>
    <t>CORN ISLAND</t>
  </si>
  <si>
    <t>BLUEFIELDS</t>
  </si>
  <si>
    <t>NUEVA GUINEA</t>
  </si>
  <si>
    <t>DEPARTAMENTO DE RIVAS</t>
  </si>
  <si>
    <t>TOLA</t>
  </si>
  <si>
    <t>BELEN</t>
  </si>
  <si>
    <t>POTOSI</t>
  </si>
  <si>
    <t>BUENOS AIRES</t>
  </si>
  <si>
    <t>MOYOGALPA</t>
  </si>
  <si>
    <t>ALTAGRACIA</t>
  </si>
  <si>
    <t>SAN JORGE</t>
  </si>
  <si>
    <t>RIVAS</t>
  </si>
  <si>
    <t>SAN JUAN DEL SUR</t>
  </si>
  <si>
    <t>CARDENAS</t>
  </si>
  <si>
    <t>DEPARTAMENTO DE RIO SAN JUAN</t>
  </si>
  <si>
    <t>MORRITO</t>
  </si>
  <si>
    <t>EL ALMENDRO</t>
  </si>
  <si>
    <t>SAN MIGUELITO</t>
  </si>
  <si>
    <t>SAN CARLOS</t>
  </si>
  <si>
    <t>EL CASTILLO</t>
  </si>
  <si>
    <t>SAN JUAN DE NICARAGUA</t>
  </si>
  <si>
    <t>Intereses de la deuda interna a largo plazo</t>
  </si>
  <si>
    <t>Comisiones y otros gastos de la deuda interna a largo plazo</t>
  </si>
  <si>
    <t>Comisiones y otros gastos de la deuda externa a corto plazo</t>
  </si>
  <si>
    <t>Prestamo BID</t>
  </si>
  <si>
    <t>Instituto Nacional Forestal</t>
  </si>
  <si>
    <t>Ampliación y equipamiento de las oficinas centrales de INAFOR en el municipio de Managua</t>
  </si>
  <si>
    <t>Donación PRORURAL</t>
  </si>
  <si>
    <t>Otros aportes (INAFOR)</t>
  </si>
  <si>
    <t>Construcción y equipamiento de puestos de control forestal en Rivas</t>
  </si>
  <si>
    <t>Programa Usura Cero</t>
  </si>
  <si>
    <t>Otro gasto capital</t>
  </si>
  <si>
    <t>Instituto Nicaragüense de Estudios Territoriales</t>
  </si>
  <si>
    <t>Procuraduría para la Defensa de los Derechos Humanos</t>
  </si>
  <si>
    <t>A instituciones culturales, deportivas y científicas</t>
  </si>
  <si>
    <t>Empresa Nicaragüense de Electricidad</t>
  </si>
  <si>
    <t>Gobierno Territorial Indígena Alto Wangki y Bocay</t>
  </si>
  <si>
    <t>Mejoramiento de las capacidades técnicas y metodológicas en centros de formación profesional en Nicaragua</t>
  </si>
  <si>
    <t>Préstamo República de Corea</t>
  </si>
  <si>
    <t>Instituto Nicaragüense de Acueductos y Alcantarillados</t>
  </si>
  <si>
    <t>Instituto Nicaragüense de Cultura</t>
  </si>
  <si>
    <t>Instituto Nicaragüense de Deportes</t>
  </si>
  <si>
    <t>Instituto Nicaragüense de Fomento Municipal</t>
  </si>
  <si>
    <t>Instituto Nicaragüense de la Pesca y Acuicultura</t>
  </si>
  <si>
    <t>Instituto Nicaragüense de Turismo</t>
  </si>
  <si>
    <t>A las universidades e instituciones de educación técnica superior</t>
  </si>
  <si>
    <t>Donación Programa Mundial de Alimentos</t>
  </si>
  <si>
    <t>Departamento / Municipio</t>
  </si>
  <si>
    <t xml:space="preserve">Mejoramiento del Camino Santa Cruz - Merida </t>
  </si>
  <si>
    <t>Pasajes para el exterior</t>
  </si>
  <si>
    <t xml:space="preserve">Construcción del Camino San Pedro del Norte - Tumarín </t>
  </si>
  <si>
    <t>Construcción Puente Santa Fe</t>
  </si>
  <si>
    <t>Instalación de Sistema de Refrigeración y Climatización con Energía Solar en Instituciones Públicas (PNESER C-5)</t>
  </si>
  <si>
    <t>Pensión Vitalicia a Expresidentes y Exvicepresidentes</t>
  </si>
  <si>
    <t>Comisiones y otros gastos de la deuda externa a largo plazo</t>
  </si>
  <si>
    <t>Rehabilitación Estadio Municipal en Siuna</t>
  </si>
  <si>
    <t>Rehabilitación Estadio Municipal en Puerto Cabezas</t>
  </si>
  <si>
    <t>Construcción de miniacueducto por gravedad en Sikilta municipio de Siuna</t>
  </si>
  <si>
    <t>Ampliación Red de agua en el casco urbano de la ciudad de Rosita</t>
  </si>
  <si>
    <t>Construcción de Estadio Municipal en la ciudad de Alamikamba</t>
  </si>
  <si>
    <t>Reconstrucción de viviendas e infraestructura social</t>
  </si>
  <si>
    <t>Tribunal aduanero y tributario administrativo</t>
  </si>
  <si>
    <t xml:space="preserve">Banco de Fomento a la Producción (PRODUZCAMOS) </t>
  </si>
  <si>
    <t>Subsidios de Energía en asentamientos en barrios económicamente vulnerables</t>
  </si>
  <si>
    <t>Universidades (Energía Eléctrica, Agua y Telefonía nacional)</t>
  </si>
  <si>
    <t>Mejoramiento de la eficiencia energética en los sistemas de bombeo de agua potable y alcantarillado sanitario en la ciudad de Managua y Ticuantepe</t>
  </si>
  <si>
    <t>Convenio MHCP/BCN Colocación de Títulos Valores</t>
  </si>
  <si>
    <t>Construcción camino a San Pedro del Norte - Planta Hidroeléctrica Tumarín</t>
  </si>
  <si>
    <t>Intereses de la deuda externa a largo plazo</t>
  </si>
  <si>
    <t>La Gaceta</t>
  </si>
  <si>
    <t>FUENTE DE FINANCIAMIENTO</t>
  </si>
  <si>
    <t>ASAMBLEA NACIONAL</t>
  </si>
  <si>
    <t>Energia eléctrica</t>
  </si>
  <si>
    <t>Otros de Capital</t>
  </si>
  <si>
    <t>Libros, revistas y periódicos</t>
  </si>
  <si>
    <t>Donación Gobierno de China Taiwan</t>
  </si>
  <si>
    <t>Remodelación de la Recepción Principal en el Edificio Benjamín Zeledón de la Asamblea Nacional</t>
  </si>
  <si>
    <t>PRESIDENCIA DE LA REPUBLICA</t>
  </si>
  <si>
    <t xml:space="preserve">Equipo de oficina y muebles </t>
  </si>
  <si>
    <t>Software</t>
  </si>
  <si>
    <t>MINISTERIO DE GOBERNACION</t>
  </si>
  <si>
    <t>Vestuario</t>
  </si>
  <si>
    <t>Calzado y artículos de cuero y piel</t>
  </si>
  <si>
    <t>Alquiller de edificios y locales</t>
  </si>
  <si>
    <t>Equipo educacional y recreativo</t>
  </si>
  <si>
    <t>Alimentos para personas (PN)</t>
  </si>
  <si>
    <t>Saldos Rentas con Destino Específico</t>
  </si>
  <si>
    <t>Maquinaria y equipo de transporte, tracción y elevación</t>
  </si>
  <si>
    <t>Maquinaria y equipo de transporte, tracción y elevación (PN)</t>
  </si>
  <si>
    <t>Equipo para computación</t>
  </si>
  <si>
    <t>Especies fiscales y valores (PN)</t>
  </si>
  <si>
    <t>Otra maquinaria y equipo (PN)</t>
  </si>
  <si>
    <t>Otros productos de papel, cartón e impresos</t>
  </si>
  <si>
    <t>Combustibles y lubricantes (PN)</t>
  </si>
  <si>
    <t>Respuestos y accesorios</t>
  </si>
  <si>
    <t>Rehabilitación de los Centros Productivos en Sistemas Penitenciarios del País</t>
  </si>
  <si>
    <t>Utiles de cocina y comedor</t>
  </si>
  <si>
    <t>Reemplazo y Ampliación de la Estación de Bomberos de Bluefields, RAAS</t>
  </si>
  <si>
    <t>Reemplazo y Ampliación de los Sistemas de Seguridad en el Centro Penitenciario de Tipitapa</t>
  </si>
  <si>
    <t>Mejoramiento y Ampliación de los Sistemas Hidrosanitarios en Centros Penitenciarios a nivel Nacional</t>
  </si>
  <si>
    <t>Construcción y Equipamiento del Centro Penitenciario de Bluefields</t>
  </si>
  <si>
    <t>Construcción y Equipamiento de Puestos Policiales en Wiwilí, El Cuá, y San José de Bocay, Departamento de Jinotega.</t>
  </si>
  <si>
    <t>MINISTERIO DE RELACIONES EXTERIORES</t>
  </si>
  <si>
    <t>Sueldos cargos permanente</t>
  </si>
  <si>
    <t xml:space="preserve">Rentas con Destino Específico </t>
  </si>
  <si>
    <t xml:space="preserve">Aquiler de edificios y locales </t>
  </si>
  <si>
    <t>Utiles de oficina</t>
  </si>
  <si>
    <t>Retribucion por estudios y asesoramiento técnicos</t>
  </si>
  <si>
    <t>Donación Unión Europea</t>
  </si>
  <si>
    <t>Donación COSUDE/SUIZA</t>
  </si>
  <si>
    <t xml:space="preserve">Reemplazo y Equipamiento del Edificio del MHCP </t>
  </si>
  <si>
    <t>MINISTERIO DE FOMENTO, INDUSTRIA Y COMERCIO</t>
  </si>
  <si>
    <t>Saldos de Rentas con Destino Específico</t>
  </si>
  <si>
    <t>Viaticos para el interior</t>
  </si>
  <si>
    <t>Viaticos para el exterior</t>
  </si>
  <si>
    <t>Aporte para otros gastos de capital a empresas privadas</t>
  </si>
  <si>
    <t>MINISTERIO DE EDUCACIÓN</t>
  </si>
  <si>
    <t>Transporte y almacenaje</t>
  </si>
  <si>
    <t>Rentas del Tesoro/Alivio Club de París</t>
  </si>
  <si>
    <t>Imprenta publicaciones y reproducciones</t>
  </si>
  <si>
    <t xml:space="preserve">Viáticos para el interior </t>
  </si>
  <si>
    <t>Utiles de oficinas</t>
  </si>
  <si>
    <t>Becas y estudios de perfeccionamiento en el país</t>
  </si>
  <si>
    <t>Otras transferencias</t>
  </si>
  <si>
    <t>Otros de capital</t>
  </si>
  <si>
    <t xml:space="preserve">Otros aportes para otros gastos de capital en efectivo y especies al sector privado </t>
  </si>
  <si>
    <t>Rehabilitación y Equipamiento del Instituto Josefa Toledo del Municipio de Juigalpa</t>
  </si>
  <si>
    <t>Donación Gobierno de España</t>
  </si>
  <si>
    <t>Mejoramiento de Establecimientos Escolares en Pre escolar en la Región del Centro</t>
  </si>
  <si>
    <t>Mejoramiento y Equipamiento de Ambientes Complementarios en Institutos a Nivel Nacional</t>
  </si>
  <si>
    <t>Mejoramiento de Establecimientos Escolares en Secundaria en la Región Norte</t>
  </si>
  <si>
    <t>Mejoramiento de Establecimientos Escolares en Secundaria en la RAAS</t>
  </si>
  <si>
    <t>Mejoramiento y Equipamiento del Instituto Nacional Elvis Díaz Romero del Municipio de Managua</t>
  </si>
  <si>
    <t>Mejoramiento y Equipamiento del Colegio Experimental México del Municipio de Managua</t>
  </si>
  <si>
    <t>Mejoramiento de Establecimientos Escolares en Preescolar en la Región Pacífico-Norte</t>
  </si>
  <si>
    <t>Mejoramiento de Establecimientos Escolares en Preescolar en la Región Norte</t>
  </si>
  <si>
    <t>Mejoramiento de Establecimientos Escolares en Preescolar en la  RAAN</t>
  </si>
  <si>
    <t>Otras transferencias para entes autonomos no empresariales (INTA)</t>
  </si>
  <si>
    <t>Contrucción y Equipamiento Laboratorio de Certificación de Semilla en el Municipio de Nueva Guinea</t>
  </si>
  <si>
    <t>Contrucción y Equipamiento Laboratorio de Certificación de Semilla en el Municipio de Matagalpa</t>
  </si>
  <si>
    <t>Contrucción y Equipamiento Laboratorio de Certificación de Semilla en el Municipio de Siuna</t>
  </si>
  <si>
    <t>Otros aportes (INTA)</t>
  </si>
  <si>
    <t>MINISTERIO DE TRANSPORTE E INFRAESTRUCTURA</t>
  </si>
  <si>
    <t xml:space="preserve">Mantenimiento y reparación de edificios y locales </t>
  </si>
  <si>
    <t xml:space="preserve">Cuotas a organismos internacionales </t>
  </si>
  <si>
    <t>Mejoramiento del Camino Malacatoya - Victoria de Julio</t>
  </si>
  <si>
    <t>Mejoramiento de la Carpeta de Rodamiento del Tramo Empalme Las Flores - Catarina - Empalme Guanacaste</t>
  </si>
  <si>
    <t>Mejoramiento de la Carretera Río Blanco - Mulukukú</t>
  </si>
  <si>
    <t>MINISTERIO DE SALUD</t>
  </si>
  <si>
    <t>Donación UNICEF</t>
  </si>
  <si>
    <t>Retribuciones por servicios de salud</t>
  </si>
  <si>
    <t>Gasto Capital</t>
  </si>
  <si>
    <t>Donación Gobiernos Bilaterales FONSALUD</t>
  </si>
  <si>
    <t>Construcción Puestos de Salud Familiar y Comunitario</t>
  </si>
  <si>
    <t>Rehabilitación del Centro Nacional de Diagnóstico y Referencia</t>
  </si>
  <si>
    <t>Donación Fondo de las Naciones Unidas para el Desarrollo del Milenio</t>
  </si>
  <si>
    <t>Rehablitación del Centro de Insumos para la Salud</t>
  </si>
  <si>
    <t>Construcción de Sede SILAIS Las Minas</t>
  </si>
  <si>
    <t>Remodelación de Sede Central SILAIS Zelaya Central</t>
  </si>
  <si>
    <t>Construcción en bienes de dominio privado</t>
  </si>
  <si>
    <t>Rentas del tesoro/Alivio BID</t>
  </si>
  <si>
    <t>Donación Organización de Energía Atómica</t>
  </si>
  <si>
    <t>Maquinaria y equipo de transp. Tracción y elevación</t>
  </si>
  <si>
    <t>MINISTERIO DEL AMBIENTE Y DE LOS RECURSOS NATURALES</t>
  </si>
  <si>
    <t xml:space="preserve"> </t>
  </si>
  <si>
    <t>Mantenimiento y reparación de edificios locales</t>
  </si>
  <si>
    <t>Otros aportes para otros gastos de capital en efectivo y especies al sector privado</t>
  </si>
  <si>
    <t>MINISTERIO DE LA FAMILIA, ADOLESCENCIA Y NIÑEZ</t>
  </si>
  <si>
    <t>Donación Fondo de las Naciones Unidas para la Niñez-UNICEF</t>
  </si>
  <si>
    <t>Donación Fondo de las Naciones Unidas para la Población-FNUAP</t>
  </si>
  <si>
    <t>Donaciones, gratificaciones y recompensas</t>
  </si>
  <si>
    <t>Subsidio a instituciones benéficas</t>
  </si>
  <si>
    <t>Donación Fondo de las Naciones Unidas para la Niñez</t>
  </si>
  <si>
    <t>A instituciones benéficas</t>
  </si>
  <si>
    <t>Construcción de Centros Infantiles Comunitarios (CICOS)</t>
  </si>
  <si>
    <t>Rehabilitación de Centros Infantiles Comunitarios Urbanos (CICOS)</t>
  </si>
  <si>
    <t>Productos medicinales y farmaceúticos</t>
  </si>
  <si>
    <t>Construcción de bienes de dominio privado</t>
  </si>
  <si>
    <t>MINISTERIO DE ECONOMIA FAMILIAR, COMUNITARIA, COOPERATIVA Y ASOCIATIVA</t>
  </si>
  <si>
    <t>Rentas del Tesoro Alivio BM</t>
  </si>
  <si>
    <t>Personal contratado para asesoría y/o consultas</t>
  </si>
  <si>
    <t>Donación FIDA</t>
  </si>
  <si>
    <t>Matenimiento y reparación de medios de transporte, tracción y elevación</t>
  </si>
  <si>
    <t xml:space="preserve">Donación Programa Mundial de Alimentos </t>
  </si>
  <si>
    <t>Matenimiento y reparación de maquinaria y equipo</t>
  </si>
  <si>
    <t>Equipos de Oficina y Muebles</t>
  </si>
  <si>
    <t>Construcción de cuartos frios en Managua para el almacenamiento de semillas, productos lacteos y vegetales</t>
  </si>
  <si>
    <t>Mejoramiento del parque de ferias</t>
  </si>
  <si>
    <t>MINISTERIO DE ENERGIA Y MINAS</t>
  </si>
  <si>
    <t xml:space="preserve">Otros materiales y suministros </t>
  </si>
  <si>
    <t>Instalación de Sistemas Fotovoltáicos en Zonas Rurales del Sector Agropecuario (PNESER C-5)</t>
  </si>
  <si>
    <t>MINISTERIO DE LA MUJER</t>
  </si>
  <si>
    <t>Teléfonos, telex y telefax nacional</t>
  </si>
  <si>
    <t>MINISTERIO DE LA JUVENTUD</t>
  </si>
  <si>
    <t xml:space="preserve">Productos medicinales y farmaceúticos </t>
  </si>
  <si>
    <t>Teléfonos, telex y telefax nacionales</t>
  </si>
  <si>
    <t>Mantenimiento y reparacion de edificios y locales</t>
  </si>
  <si>
    <t>ASIGNACIONES Y SUBVENCIONES</t>
  </si>
  <si>
    <t>Préstamos Externos</t>
  </si>
  <si>
    <t>Donaciones Externas</t>
  </si>
  <si>
    <t>Otro de Capital</t>
  </si>
  <si>
    <t>A entes autonomos no empresariales</t>
  </si>
  <si>
    <t>Otras aportes</t>
  </si>
  <si>
    <t>Construcción de Edificio de Ventanillas de Atención al Turista en Aduana Peñas Blancas</t>
  </si>
  <si>
    <t>Otros de  Capital</t>
  </si>
  <si>
    <t>Construcción de Red de Distribución Eléctrica rural en los departamentos de Masaya, Granada, Carazo y Rivas (PNESER)</t>
  </si>
  <si>
    <t>Construcción de líneas de transmisión para conectar las plantas eólica EOLO y BLUE POWER</t>
  </si>
  <si>
    <t>Normalización del Servicio Eléctrico en asentamientos sector sur (PNESER)</t>
  </si>
  <si>
    <t>Construcción línea de transmisión para conectar la planta geotérmica San Jacinto Tizate</t>
  </si>
  <si>
    <t>Construcción camino a San Pedro del Norte-Planta Hidroeléctrica Tumarín</t>
  </si>
  <si>
    <t>Empresa Nicaraguense de Acueductos y Alcantarillados Sanitarios</t>
  </si>
  <si>
    <t>Instalación y reemplazo de medidores de agua potable a nivel nacional</t>
  </si>
  <si>
    <t>Mejoramiento y ampliación de los servicios de agua potable y saneamiento de Managua</t>
  </si>
  <si>
    <t>Mejoramiento de la eficiencia energética en los sistemas de bombeo de agua potable y alcantarillado sanitario en las ciudades de Masaya, Masatepe y La Concepción</t>
  </si>
  <si>
    <t>Mejoramiento de la eficiencia energética en los sistemas de bombeo de agua potable y alcantarillado sanitario en las ciudades de Jinotepe, Diriamba y San Marcos</t>
  </si>
  <si>
    <t>Mejoramiento de la eficiencia energética en los sistemas de bombeo de agua potable y alcantarillado sanitario en las ciudades de Managua y Ticuantepe</t>
  </si>
  <si>
    <t>Donacion BM</t>
  </si>
  <si>
    <t>Reconstrucción de Viviendas e Infraestructua Social</t>
  </si>
  <si>
    <t>Construcción de viviendas nuevas progresivas bajo la modalidad de subsidio con crédito</t>
  </si>
  <si>
    <t>Prestamo BCIE</t>
  </si>
  <si>
    <t>Construcción de viviendas nuevas progresivas bajo la modalidad de subsidio sin crédito</t>
  </si>
  <si>
    <t>Mejoramiento progresivo de viviendas bajo la modalidad de subsidio con crédito</t>
  </si>
  <si>
    <t>Mejoramiento progresivo de viviendas bajo la modalidad de subsidio sin crédito</t>
  </si>
  <si>
    <t>Mejoramiento de la infraestructura y servicios básicos en barrios urbanos</t>
  </si>
  <si>
    <t>Instituto Nicaraguense de Turismo</t>
  </si>
  <si>
    <t>A empresas públicas financieras</t>
  </si>
  <si>
    <t>Gasto de Corriente</t>
  </si>
  <si>
    <t>Donación Gobierno de Suiza</t>
  </si>
  <si>
    <t>Donación Suiza</t>
  </si>
  <si>
    <t>Préstamo Banco de Exportación de Corea</t>
  </si>
  <si>
    <t>Donación EEUU</t>
  </si>
  <si>
    <t>Rentas del Tesoro Alivio BID</t>
  </si>
  <si>
    <t>Rentas del Tesoro Alivio Club de París</t>
  </si>
  <si>
    <t>Fuente de Financiamiento</t>
  </si>
  <si>
    <t>Mejoramiento y ampliación de los Sistemas Hidrosanitarios en Centros Penitenciarios a Nivel Nacional</t>
  </si>
  <si>
    <t>Rehabilitación del edificio sede del Ministerio de Gobernación</t>
  </si>
  <si>
    <t>Rehabilitación y ampliación de los Centros Penitenciarios del País</t>
  </si>
  <si>
    <t>Construcción del despacho Migratorio en el Naranjo-Ostional, Rivas</t>
  </si>
  <si>
    <t>Rehabilitación y ampliación Complejo Policial Talleres y Almacenes, Managua</t>
  </si>
  <si>
    <t>Atenciones sociales (EN)</t>
  </si>
  <si>
    <t>Teléfonos, telefax nacional</t>
  </si>
  <si>
    <t>Teléfonos, telefax internacional</t>
  </si>
  <si>
    <t>Mejoramiento de establecimientos escolares en secundaria en la Región Pacífico-Norte</t>
  </si>
  <si>
    <t>Mejoramiento de establecimientos escolares en secundaria en la Región Norte-Centro</t>
  </si>
  <si>
    <t>Mejoramiento de establecimientos escolares en secundaria en la Región del Centro</t>
  </si>
  <si>
    <t xml:space="preserve">Transporte y almacenaje </t>
  </si>
  <si>
    <t>Mejoramiento y ampliación de Edificios Centrales MAGFOR y DGPSA en el municipio de Managua</t>
  </si>
  <si>
    <t>Mejoramiento y ampliación de los Laboratorios DGPSA a Nivel Central Regional</t>
  </si>
  <si>
    <t>Retribución por servicios de salud</t>
  </si>
  <si>
    <t>Retribución por Servicios de salud</t>
  </si>
  <si>
    <t>Ministerio de Fomento, Industria y Comercio</t>
  </si>
  <si>
    <t>Banco de Fomento de la Producción (PRODUZCAMOS)</t>
  </si>
  <si>
    <t>Comisión de Apelación del Servicio Civil</t>
  </si>
  <si>
    <t>Consejo Nacional de Evaluación y Acreditación del Sistema Educativo</t>
  </si>
  <si>
    <t xml:space="preserve">                              (Córdobas)</t>
  </si>
  <si>
    <t xml:space="preserve">                                           (Córdobas)</t>
  </si>
  <si>
    <t>Rentas del Tesoro / Alivio BCIE</t>
  </si>
  <si>
    <t>Rentas del Tesoro/Alivio BCIE</t>
  </si>
  <si>
    <t xml:space="preserve">                                TRANSFERENCIA MUNICIPAL 2014</t>
  </si>
  <si>
    <t>Equipo para computación (PN)</t>
  </si>
  <si>
    <t>Viáticos para el interior (PN)</t>
  </si>
  <si>
    <t>A instituciones religiosas</t>
  </si>
  <si>
    <t>Subvenciones a Organizaciones sin fines de lucro, centros culturales y deportivos</t>
  </si>
  <si>
    <t>Subvenciones a iglesias, templos y congregaciones religiosas</t>
  </si>
  <si>
    <r>
      <t>Asociación Científica y Cultural Zoológico Thomas Belt. Juigalpa, Chontales</t>
    </r>
    <r>
      <rPr>
        <b/>
        <vertAlign val="superscript"/>
        <sz val="10"/>
        <color theme="1"/>
        <rFont val="Arial"/>
        <family val="2"/>
      </rPr>
      <t>1</t>
    </r>
  </si>
  <si>
    <r>
      <t>Catedral Metropolitana de León</t>
    </r>
    <r>
      <rPr>
        <b/>
        <vertAlign val="superscript"/>
        <sz val="10"/>
        <color theme="1"/>
        <rFont val="Arial"/>
        <family val="2"/>
      </rPr>
      <t>1</t>
    </r>
  </si>
  <si>
    <r>
      <t>Instituto Nacional de Defensa del Consumidor</t>
    </r>
    <r>
      <rPr>
        <b/>
        <vertAlign val="superscript"/>
        <sz val="10"/>
        <color theme="1"/>
        <rFont val="Arial"/>
        <family val="2"/>
      </rPr>
      <t>1</t>
    </r>
  </si>
  <si>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Las partidas aquí asignadas deberán ser entregadas en un solo desembolso, a más tardar la última semana del mes de octubre y sujeto a la correspondiente rendición de cuentas ante el MHCP.</t>
    </r>
  </si>
  <si>
    <t>Otros subsidios económicos a empresas públicas no financieras</t>
  </si>
  <si>
    <t>No.</t>
  </si>
  <si>
    <t>NOMBRE DE LA INSTITUCIÓN</t>
  </si>
  <si>
    <r>
      <t>MONTO  EN CÓRDOBAS</t>
    </r>
    <r>
      <rPr>
        <b/>
        <sz val="10"/>
        <rFont val="Arial"/>
        <family val="2"/>
      </rPr>
      <t/>
    </r>
  </si>
  <si>
    <t>DESCRIPCIÓN DEL GASTO</t>
  </si>
  <si>
    <t>Corriente</t>
  </si>
  <si>
    <t xml:space="preserve">Capital </t>
  </si>
  <si>
    <t>Academia de Ciencias de Nicaragua (ACN).</t>
  </si>
  <si>
    <t>Gastos operativos</t>
  </si>
  <si>
    <t>Archivo Histórico Diocesano.</t>
  </si>
  <si>
    <t>Apoyo institucional y para compra de servicios higiénicos</t>
  </si>
  <si>
    <t>Asociación Congregación Salesiana de Nicaragua.</t>
  </si>
  <si>
    <t>Apoyo en los gastos operativos de la labor educativa del Centro Juvenil don Bosco</t>
  </si>
  <si>
    <t>Asociación de Ancianos Desprotegidos Divino Niño de Jesús.  Ciudad Sandino, Managua.</t>
  </si>
  <si>
    <t>Ampliación de la infraestructura y techado del Centro.</t>
  </si>
  <si>
    <t>Asociación de Artistas de la Danza</t>
  </si>
  <si>
    <t>Apoyo para la reparación del tabloncillo del escenario de la Escuela Nacional de Danza</t>
  </si>
  <si>
    <t>Asociación de Educación Popular "Carlos Fonseca Amador" (AEPCFA).</t>
  </si>
  <si>
    <t>Asociación de Municipios de Nicaragua (AMUNIC).</t>
  </si>
  <si>
    <t>Fortalecimiento institucional</t>
  </si>
  <si>
    <t>Asociación de Padres de Familia con hijos discapacitados Los Pipitos.</t>
  </si>
  <si>
    <t xml:space="preserve">Apoyo para el funcionamiento institucional </t>
  </si>
  <si>
    <t>Asociación Instituto Cultural Rubén Darío de Nicaragua (ICRDN).</t>
  </si>
  <si>
    <t>Asociación Quincho Barrilete</t>
  </si>
  <si>
    <t>Apoyo institucional para acompañamiento integral en la restitución de derechos a niños, niñas y adolescentes en alto riesgo</t>
  </si>
  <si>
    <t>Apoyo para gastos administrativos, adquisición de equipos y mantenimiento del local</t>
  </si>
  <si>
    <t>Centro Cristiano  Monte Horeb</t>
  </si>
  <si>
    <t xml:space="preserve">Federación Nicaragüense de Karate-Do (FENIKA-DO). </t>
  </si>
  <si>
    <t>Fundación el Camino (FUCAM)</t>
  </si>
  <si>
    <t>Fundación Festival Internacional de Poesía de Granada</t>
  </si>
  <si>
    <t>Apoyo para los gastos operativos del Festival Internacional de Poesía</t>
  </si>
  <si>
    <t>Fundación Pro Ayuda a niños y niñas con capacidades diferentes (SIELO)</t>
  </si>
  <si>
    <t>Apoyo institucional para el funcionamiento del centro</t>
  </si>
  <si>
    <t>Hogar Zacarías Guerra.</t>
  </si>
  <si>
    <t>Gastos  operativos</t>
  </si>
  <si>
    <t>Movimiento Club de Jóvenes Ambientalistas</t>
  </si>
  <si>
    <t>Apoyo para mantenimiento y conservación del museo</t>
  </si>
  <si>
    <t>Mantenimiento del museo</t>
  </si>
  <si>
    <t>Unión Nacional de Agricultores y Ganaderos (UNAG).</t>
  </si>
  <si>
    <t>Apoyo para la etapa final de construcción del mercado campesino</t>
  </si>
  <si>
    <t>MONTO  EN CÓRDOBAS</t>
  </si>
  <si>
    <t>Asociación de Iglesias de Restauración del Príncipe de Paz de Nicaragua (IRPN)</t>
  </si>
  <si>
    <t>Apoyo para la construcción de tres aulas de clases en la Iglesia Príncipe de Paz</t>
  </si>
  <si>
    <t>Catedral Nuestra Señora del Rosario. Bluefields, RAAS.</t>
  </si>
  <si>
    <t>Reparación y mantenimiento de la Catedral</t>
  </si>
  <si>
    <t xml:space="preserve">Frailes Paulinos de Santa María. Los Robles, Jinotega. </t>
  </si>
  <si>
    <t>Apoyo para la construcción del Convento Santa María de Guadalupe</t>
  </si>
  <si>
    <t>Iglesia de San José. Diriamba, Carazo.</t>
  </si>
  <si>
    <t>Mantenimiento y restauración del templo</t>
  </si>
  <si>
    <t>Parroquia Nuestra Señora de Fátima. Granada, Granada.</t>
  </si>
  <si>
    <t>Apoyo para compra de materiales para reparaciones eléctricas del templo</t>
  </si>
  <si>
    <t>Parroquia Nuestra Señora de Guadalupe. Estelí, Estelí.</t>
  </si>
  <si>
    <t>Apoyo para el mantenimiento del techo de la parroquia</t>
  </si>
  <si>
    <t>Parroquia Nuestra Señora de la Merced. Barrio Larreynaga, Managua.</t>
  </si>
  <si>
    <t>Apoyo para la ejecución de la cuarta etapa de remodelación del salón de usos múltiples</t>
  </si>
  <si>
    <t>Parroquia Nuestra Señora de la Merced. El Cuá, Jinotega.</t>
  </si>
  <si>
    <t>Construcción del muro perimetral de la parroquia</t>
  </si>
  <si>
    <t>Parroquia Nuestra Señora del Pilar. Barrio El Pilar, Managua.</t>
  </si>
  <si>
    <t>Apoyo para la construcción del muro perimetral de la parroquia.</t>
  </si>
  <si>
    <t>Parroquia San Caralampio. Diriamba, Carazo.</t>
  </si>
  <si>
    <t>Apoyo para mantenimiento del sistema eléctrico y gastos operativos menores</t>
  </si>
  <si>
    <t>Parroquia San Felipe Apóstol. León, León.</t>
  </si>
  <si>
    <t>Restauración de los altares de la parroquia</t>
  </si>
  <si>
    <t xml:space="preserve">Parroquia San Juan Bautista (Catedral de Madera). Subtiava, León. </t>
  </si>
  <si>
    <t>Mantenimiento de la parroquia</t>
  </si>
  <si>
    <t>Parroquia Santa Bárbara. Mina El Limón, León.</t>
  </si>
  <si>
    <t>Parroquia Santa Gema Galgani. Colonia Morazán, Managua.</t>
  </si>
  <si>
    <t>Apoyo para la construcción de la Capilla del Santísimo</t>
  </si>
  <si>
    <t>Parroquia Santiago Apóstol. La Concepción, Masaya.</t>
  </si>
  <si>
    <t>Construcción del muro perimetral de la Capilla San Francisco de Asís</t>
  </si>
  <si>
    <t>Parroquia Santiago Apóstol. Nagarote, León.</t>
  </si>
  <si>
    <t>Apoyo para la restauración del templo</t>
  </si>
  <si>
    <t>Santuario Mariano Arquidiocesano, Nuestra Señora de Lourdes. Managua.</t>
  </si>
  <si>
    <t>Apoyo para la construcción de la segunda etapa de la Plaza de Nuestra  Señora de Lourdes</t>
  </si>
  <si>
    <t>Seminario Arquidiocesano La Purísima. Managua.</t>
  </si>
  <si>
    <t>Apoyo para la construcción del salón multiuso</t>
  </si>
  <si>
    <t>Seminario Menor San Ramón. León, León.</t>
  </si>
  <si>
    <t>Apoyo para el mantenimiento y mejoras en la seguridad del local</t>
  </si>
  <si>
    <t>SUBVENCIONES A CENTROS RELIGIOSOS, CULTURALES, DEPORTIVOS Y ORGANIZACIONES SIN FINES DE LUCRO</t>
  </si>
  <si>
    <t xml:space="preserve">Reducción </t>
  </si>
  <si>
    <t xml:space="preserve">SUBVENCIONES A ORGANIZACIONES SIN FINES DE LUCRO, CENTROS CULTURALES Y DEPORTIVOS </t>
  </si>
  <si>
    <t>Asociación Terciarios Capuchinos de Nicaragua</t>
  </si>
  <si>
    <t xml:space="preserve">Fundación Cristiana Pro Desarrollo Social </t>
  </si>
  <si>
    <t>Centro de Exportaciones e Inversiones (CEI)</t>
  </si>
  <si>
    <t>Fundación para el Desarrollo de la Población en su Comunidad (FUNDAP-COM)</t>
  </si>
  <si>
    <t>Asociación de Iglesias Congregacionales Pentecostes en Nicaragua (ICPEN)</t>
  </si>
  <si>
    <t>Asociación Ministerio Misionero Evangelístico Camino de Santidad</t>
  </si>
  <si>
    <t>SUB-TOTAL</t>
  </si>
  <si>
    <t xml:space="preserve">SUBVENCIONES A IGLESIAS, TEMPLOS Y CONGREGACIONES RELIGIOSAS </t>
  </si>
  <si>
    <t>Coordinadora Evangélica Iglesia y Sociedad (CEPRES)</t>
  </si>
  <si>
    <t>Parroquia Inmaculada Concepción de María. Sébaco, Matagalpa</t>
  </si>
  <si>
    <t>Sociedad Biblica de Nicaragua</t>
  </si>
  <si>
    <t>Gastos operativos de la Feria Nacional de la Tierra</t>
  </si>
  <si>
    <r>
      <t>REFORMA A LA LEY N</t>
    </r>
    <r>
      <rPr>
        <b/>
        <vertAlign val="superscript"/>
        <sz val="10"/>
        <color theme="1"/>
        <rFont val="Arial"/>
        <family val="2"/>
      </rPr>
      <t>o</t>
    </r>
    <r>
      <rPr>
        <b/>
        <sz val="10"/>
        <color theme="1"/>
        <rFont val="Arial"/>
        <family val="2"/>
      </rPr>
      <t>. 851 "LEY ANUAL DE PRESUPUESTO GENERAL DE LA REPÚBLICA 2014"</t>
    </r>
  </si>
  <si>
    <t>Concepto</t>
  </si>
  <si>
    <r>
      <t>Foro Nicaragüense de Cultura</t>
    </r>
    <r>
      <rPr>
        <b/>
        <vertAlign val="superscript"/>
        <sz val="10"/>
        <color theme="1"/>
        <rFont val="Arial"/>
        <family val="2"/>
      </rPr>
      <t>1</t>
    </r>
  </si>
  <si>
    <t>A instituciones educativas</t>
  </si>
  <si>
    <r>
      <t>LEY DE MODIFICACIÓN A LA LEY N</t>
    </r>
    <r>
      <rPr>
        <b/>
        <vertAlign val="superscript"/>
        <sz val="12"/>
        <rFont val="Ebrima"/>
      </rPr>
      <t>o</t>
    </r>
    <r>
      <rPr>
        <b/>
        <sz val="12"/>
        <rFont val="Ebrima"/>
      </rPr>
      <t>. 851, LEY ANUAL DEL PRESUPUESTO GENERAL DE LA REPÚBLICA 2014</t>
    </r>
  </si>
  <si>
    <r>
      <t xml:space="preserve">SUBVENCIONES A ORGANIZACIONES SIN FINES DE LUCRO, CENTROS CULTURALES Y DEPORTIVOS </t>
    </r>
    <r>
      <rPr>
        <b/>
        <vertAlign val="superscript"/>
        <sz val="12"/>
        <rFont val="Arial"/>
        <family val="2"/>
      </rPr>
      <t>1</t>
    </r>
  </si>
  <si>
    <r>
      <t xml:space="preserve">Asignación especial para la promoción del arte y la cultura. </t>
    </r>
    <r>
      <rPr>
        <b/>
        <vertAlign val="superscript"/>
        <sz val="12"/>
        <rFont val="Arial"/>
        <family val="2"/>
      </rPr>
      <t>2</t>
    </r>
  </si>
  <si>
    <r>
      <rPr>
        <b/>
        <sz val="12"/>
        <rFont val="Arial"/>
        <family val="2"/>
      </rPr>
      <t xml:space="preserve">a) Para compra y remozamiento de vestuario: </t>
    </r>
    <r>
      <rPr>
        <sz val="12"/>
        <rFont val="Arial"/>
        <family val="2"/>
      </rPr>
      <t xml:space="preserve">1) Ballet Folklórico Nicarahuatl C$100,000.00; </t>
    </r>
    <r>
      <rPr>
        <b/>
        <sz val="12"/>
        <rFont val="Arial"/>
        <family val="2"/>
      </rPr>
      <t>b) Apoyo a artistas nacionales destacados:</t>
    </r>
    <r>
      <rPr>
        <sz val="12"/>
        <rFont val="Arial"/>
        <family val="2"/>
      </rPr>
      <t xml:space="preserve"> Irene López C$ 100,000.00; Manuel Castillo Álvarez C$ 100,000.00;</t>
    </r>
    <r>
      <rPr>
        <b/>
        <sz val="12"/>
        <rFont val="Arial"/>
        <family val="2"/>
      </rPr>
      <t xml:space="preserve"> c) Apoyo para la promoción de la música:</t>
    </r>
    <r>
      <rPr>
        <sz val="12"/>
        <rFont val="Arial"/>
        <family val="2"/>
      </rPr>
      <t xml:space="preserve"> Camerata Bach C$ 100,000.00; </t>
    </r>
    <r>
      <rPr>
        <b/>
        <sz val="12"/>
        <rFont val="Arial"/>
        <family val="2"/>
      </rPr>
      <t>d) Apoyo para la promoción del teatro y el cine:</t>
    </r>
    <r>
      <rPr>
        <sz val="12"/>
        <rFont val="Arial"/>
        <family val="2"/>
      </rPr>
      <t xml:space="preserve"> Grupo Nacional de Teatro Arlequín C$ 50,000.00; Gota Films C$ 100,000.00; Luna Films C$ 150,000.00; </t>
    </r>
  </si>
  <si>
    <r>
      <t xml:space="preserve">Casa Cultural Antenor Sandino Hernández. León, León. </t>
    </r>
    <r>
      <rPr>
        <b/>
        <vertAlign val="superscript"/>
        <sz val="12"/>
        <color theme="1"/>
        <rFont val="Arial"/>
        <family val="2"/>
      </rPr>
      <t>3</t>
    </r>
  </si>
  <si>
    <r>
      <t xml:space="preserve">Casa de Cultura  Ricardo Morales Avilés. Diriamba, Carazo. </t>
    </r>
    <r>
      <rPr>
        <b/>
        <vertAlign val="superscript"/>
        <sz val="12"/>
        <color theme="1"/>
        <rFont val="Arial"/>
        <family val="2"/>
      </rPr>
      <t>3</t>
    </r>
  </si>
  <si>
    <r>
      <t>Museo Arqueológico Gregorio Aguilar Barea. Juigalpa, Chontales.</t>
    </r>
    <r>
      <rPr>
        <b/>
        <vertAlign val="superscript"/>
        <sz val="12"/>
        <rFont val="Arial"/>
        <family val="2"/>
      </rPr>
      <t>4</t>
    </r>
  </si>
  <si>
    <r>
      <t xml:space="preserve">Museo de Historia y Arqueología Doctor Alejandro Dávila Bolaños. Estelí, Estelí. </t>
    </r>
    <r>
      <rPr>
        <vertAlign val="superscript"/>
        <sz val="12"/>
        <rFont val="Arial"/>
        <family val="2"/>
      </rPr>
      <t>5</t>
    </r>
  </si>
  <si>
    <r>
      <rPr>
        <b/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Las partidas aquí asignadas deberán ser entregadas en un solo desembolso, a más tardar la última semana del mes de octubre y sujeto a la correspondiente rendición de cuentas ante el MHCP.</t>
    </r>
  </si>
  <si>
    <r>
      <rPr>
        <b/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Las asignaciones correspondientes a los artistas nacionales destacados se desembolsarán a favor de los propios artistas beneficiados, y en los casos específicos de la Camerata Bach y el Grupo Nacional de Teatro Arlequín la asignación se emitirá a nombre del director del grupo. En cuanto a las asignaciones dirigidas a las personas jurídicas Luna Films y Gota Films, los correspondientes cheques se emitirán a nombre de sus respectivos representantes.</t>
    </r>
  </si>
  <si>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El desembolso de estas partidas se deberá emitir a nombre del Director de cada una de las referidas Casas de Cultura.</t>
    </r>
  </si>
  <si>
    <r>
      <rPr>
        <b/>
        <vertAlign val="superscript"/>
        <sz val="10"/>
        <color theme="1"/>
        <rFont val="Arial"/>
        <family val="2"/>
      </rPr>
      <t>4</t>
    </r>
    <r>
      <rPr>
        <sz val="10"/>
        <color theme="1"/>
        <rFont val="Arial"/>
        <family val="2"/>
      </rPr>
      <t xml:space="preserve"> Esta partida deberá ser desembolsada a nombre de la Administradora del Museo.</t>
    </r>
  </si>
  <si>
    <r>
      <rPr>
        <b/>
        <vertAlign val="superscript"/>
        <sz val="10"/>
        <color theme="1"/>
        <rFont val="Arial"/>
        <family val="2"/>
      </rPr>
      <t>5</t>
    </r>
    <r>
      <rPr>
        <sz val="10"/>
        <color theme="1"/>
        <rFont val="Arial"/>
        <family val="2"/>
      </rPr>
      <t xml:space="preserve"> Esta partida será ejecutada a través de la Alcaldía Municipal de Estelí.</t>
    </r>
  </si>
  <si>
    <r>
      <t>LEY DE MODIFICACIÓN A LA LEY N</t>
    </r>
    <r>
      <rPr>
        <b/>
        <vertAlign val="superscript"/>
        <sz val="9"/>
        <rFont val="Arial"/>
        <family val="2"/>
      </rPr>
      <t>o</t>
    </r>
    <r>
      <rPr>
        <b/>
        <sz val="9"/>
        <rFont val="Arial"/>
        <family val="2"/>
      </rPr>
      <t>. 851, LEY ANUAL DEL PRESUPUESTO GENERAL DE LA REPÚBLICA 2014</t>
    </r>
  </si>
  <si>
    <r>
      <t>LEY DE MODIFICACIÓN A LA LEY N</t>
    </r>
    <r>
      <rPr>
        <b/>
        <vertAlign val="superscript"/>
        <sz val="11"/>
        <rFont val="Arial"/>
        <family val="2"/>
      </rPr>
      <t>o</t>
    </r>
    <r>
      <rPr>
        <b/>
        <sz val="11"/>
        <rFont val="Arial"/>
        <family val="2"/>
      </rPr>
      <t>. 851, LEY ANUAL DEL PRESUPUESTO GENERAL DE LA REPÚBLICA 2014</t>
    </r>
  </si>
  <si>
    <r>
      <t xml:space="preserve">SUBVENCIONES A IGLESIAS, TEMPLOS Y CONGREGACIONES RELIGIOSAS </t>
    </r>
    <r>
      <rPr>
        <b/>
        <vertAlign val="superscript"/>
        <sz val="11"/>
        <rFont val="Arial"/>
        <family val="2"/>
      </rPr>
      <t>1</t>
    </r>
  </si>
  <si>
    <r>
      <rPr>
        <b/>
        <vertAlign val="superscript"/>
        <sz val="11"/>
        <color theme="1"/>
        <rFont val="Arial"/>
        <family val="2"/>
      </rPr>
      <t>1</t>
    </r>
    <r>
      <rPr>
        <sz val="11"/>
        <color theme="1"/>
        <rFont val="Arial"/>
        <family val="2"/>
      </rPr>
      <t xml:space="preserve"> Las partidas aquí asignadas deberán ser entregadas en un solo desembolso, a más tardar la última semana del mes de octubre y sujeto a la correspondiente rendición de cuentas ante el MHCP.</t>
    </r>
  </si>
  <si>
    <t>Combustibles y lubricantes (EN)</t>
  </si>
  <si>
    <r>
      <t xml:space="preserve">     REFORMA A LA LEY N</t>
    </r>
    <r>
      <rPr>
        <b/>
        <vertAlign val="superscript"/>
        <sz val="10"/>
        <color theme="1"/>
        <rFont val="Arial"/>
        <family val="2"/>
      </rPr>
      <t>o</t>
    </r>
    <r>
      <rPr>
        <b/>
        <sz val="10"/>
        <color theme="1"/>
        <rFont val="Arial"/>
        <family val="2"/>
      </rPr>
      <t>. 851 "LEY ANUAL DE PRESUPUESTO GENERAL DE LA REPÚBLICA 2014"</t>
    </r>
  </si>
  <si>
    <t>REDUCCIÓN</t>
  </si>
  <si>
    <r>
      <t>REFORMA A LA LEY N</t>
    </r>
    <r>
      <rPr>
        <b/>
        <vertAlign val="superscript"/>
        <sz val="11"/>
        <color theme="1"/>
        <rFont val="Arial"/>
        <family val="2"/>
      </rPr>
      <t>o</t>
    </r>
    <r>
      <rPr>
        <b/>
        <sz val="11"/>
        <color theme="1"/>
        <rFont val="Arial"/>
        <family val="2"/>
      </rPr>
      <t>. 851 "LEY ANUAL DE PRESUPUESTO GENERAL DE LA REPÚBLICA 2014"</t>
    </r>
  </si>
  <si>
    <t>SERVICIO DE LA DEUDA PÚBLICA</t>
  </si>
  <si>
    <t>Otras compensaciones adicionales al sueldo (vice presidencia)</t>
  </si>
  <si>
    <t>Alquiler de edificios locales (Vice presidencia)</t>
  </si>
  <si>
    <r>
      <t>Ministerio Agropecuario</t>
    </r>
    <r>
      <rPr>
        <b/>
        <vertAlign val="superscript"/>
        <sz val="10"/>
        <color theme="1"/>
        <rFont val="Arial"/>
        <family val="2"/>
      </rPr>
      <t>2/</t>
    </r>
  </si>
  <si>
    <t>2 Para efectos del ejercicio presupuestario 2014, en el SIGFA se mantendrà el registro como Ministerio Agropecuario y Forestal,</t>
  </si>
  <si>
    <r>
      <rPr>
        <b/>
        <sz val="8"/>
        <color theme="1"/>
        <rFont val="Arial"/>
        <family val="2"/>
      </rPr>
      <t>1/</t>
    </r>
    <r>
      <rPr>
        <b/>
        <sz val="10"/>
        <color theme="1"/>
        <rFont val="Arial"/>
        <family val="2"/>
      </rPr>
      <t xml:space="preserve"> Ministerio Agropecuario</t>
    </r>
  </si>
  <si>
    <r>
      <t xml:space="preserve">MINISTERIO AGROPECUARIO </t>
    </r>
    <r>
      <rPr>
        <b/>
        <vertAlign val="superscript"/>
        <sz val="11"/>
        <color theme="1"/>
        <rFont val="Arial"/>
        <family val="2"/>
      </rPr>
      <t>1/</t>
    </r>
  </si>
  <si>
    <t>Para efectos del ejercicio presupuestario 2014, en el SIGFA se mantendrà el registro como Ministerio Agropecuario y Forestal.</t>
  </si>
  <si>
    <t>RENGLÓN</t>
  </si>
  <si>
    <t>PRESIDENCIA DE LA REPÚBLICA</t>
  </si>
  <si>
    <t>MINISTERIO DE GOBERNACIÓN</t>
  </si>
  <si>
    <t>MINISTERIO DE HACIENDA Y CRÉDITO PÚBLICO</t>
  </si>
  <si>
    <t>PROCURADURÍA GENERAL DE LA REPÚBLICA</t>
  </si>
  <si>
    <t>1 Para efectos del ejercicio presupuestario 2014, en el SIGFA se mantendrà el registro como Ministerio Agropecuario y Forestal.</t>
  </si>
  <si>
    <t xml:space="preserve">     Empresa Portuaria Nacional</t>
  </si>
  <si>
    <t xml:space="preserve">    Empresa Nicaragüense de Acueductos y Alcantarillados Sanitarios</t>
  </si>
  <si>
    <t xml:space="preserve">    Asignaciones y Subvenciones</t>
  </si>
  <si>
    <t>TOTAL SERVICIO DE LA DEUDA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</si>
</sst>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 * #,##0_ ;_ * \-#,##0_ ;_ * &quot;-&quot;??_ ;_ @_ "/>
    <numFmt numFmtId="167" formatCode="_(* #,##0.0_);_(* \(#,##0.0\);_(* &quot;-&quot;??_);_(@_)"/>
    <numFmt numFmtId="168" formatCode="#,##0_ ;\-#,##0\ 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9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indexed="14"/>
      <name val="Arial"/>
      <family val="2"/>
    </font>
    <font>
      <sz val="10"/>
      <color theme="0"/>
      <name val="Arial"/>
      <family val="2"/>
    </font>
    <font>
      <b/>
      <sz val="8"/>
      <name val="Arial"/>
      <family val="2"/>
    </font>
    <font>
      <sz val="10"/>
      <color indexed="18"/>
      <name val="Bookman Old Style"/>
      <family val="1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sz val="11"/>
      <color indexed="16"/>
      <name val="Arial"/>
      <family val="2"/>
    </font>
    <font>
      <b/>
      <i/>
      <sz val="8"/>
      <color indexed="17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u/>
      <sz val="10"/>
      <color theme="1"/>
      <name val="Arial"/>
      <family val="2"/>
    </font>
    <font>
      <sz val="9"/>
      <color theme="1"/>
      <name val="Arial"/>
      <family val="2"/>
    </font>
    <font>
      <b/>
      <u/>
      <sz val="11"/>
      <color theme="1"/>
      <name val="Arial"/>
      <family val="2"/>
    </font>
    <font>
      <b/>
      <sz val="9"/>
      <color theme="1"/>
      <name val="Arial"/>
      <family val="2"/>
    </font>
    <font>
      <b/>
      <vertAlign val="superscript"/>
      <sz val="10"/>
      <color theme="1"/>
      <name val="Arial"/>
      <family val="2"/>
    </font>
    <font>
      <sz val="12"/>
      <color theme="1"/>
      <name val="Ebrima"/>
    </font>
    <font>
      <vertAlign val="superscript"/>
      <sz val="10"/>
      <color theme="1"/>
      <name val="Arial"/>
      <family val="2"/>
    </font>
    <font>
      <b/>
      <sz val="12"/>
      <name val="Ebrima"/>
    </font>
    <font>
      <sz val="12"/>
      <color rgb="FFFF0000"/>
      <name val="Ebrima"/>
    </font>
    <font>
      <b/>
      <vertAlign val="superscript"/>
      <sz val="12"/>
      <name val="Ebrima"/>
    </font>
    <font>
      <sz val="12"/>
      <name val="Ebrima"/>
    </font>
    <font>
      <sz val="12"/>
      <name val="Arial"/>
      <family val="2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sz val="12"/>
      <color rgb="FF000000"/>
      <name val="Arial"/>
      <family val="2"/>
    </font>
    <font>
      <b/>
      <vertAlign val="superscript"/>
      <sz val="12"/>
      <color theme="1"/>
      <name val="Arial"/>
      <family val="2"/>
    </font>
    <font>
      <vertAlign val="superscript"/>
      <sz val="12"/>
      <name val="Arial"/>
      <family val="2"/>
    </font>
    <font>
      <b/>
      <sz val="14"/>
      <color theme="1"/>
      <name val="Arial"/>
      <family val="2"/>
    </font>
    <font>
      <b/>
      <vertAlign val="superscript"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sz val="11"/>
      <name val="Arial"/>
      <family val="2"/>
    </font>
    <font>
      <b/>
      <vertAlign val="superscript"/>
      <sz val="11"/>
      <color theme="1"/>
      <name val="Arial"/>
      <family val="2"/>
    </font>
    <font>
      <b/>
      <u val="singleAccounting"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thin">
        <color theme="0" tint="-0.14996795556505021"/>
      </right>
      <top style="medium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auto="1"/>
      </right>
      <top style="medium">
        <color auto="1"/>
      </top>
      <bottom style="thin">
        <color theme="0" tint="-0.14996795556505021"/>
      </bottom>
      <diagonal/>
    </border>
    <border>
      <left style="medium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auto="1"/>
      </left>
      <right style="thin">
        <color theme="0" tint="-0.14996795556505021"/>
      </right>
      <top style="thin">
        <color theme="0" tint="-0.14996795556505021"/>
      </top>
      <bottom style="medium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auto="1"/>
      </bottom>
      <diagonal/>
    </border>
    <border>
      <left style="thin">
        <color theme="0" tint="-0.14996795556505021"/>
      </left>
      <right style="medium">
        <color auto="1"/>
      </right>
      <top style="thin">
        <color theme="0" tint="-0.14996795556505021"/>
      </top>
      <bottom style="medium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2">
    <xf numFmtId="0" fontId="0" fillId="0" borderId="0"/>
    <xf numFmtId="43" fontId="2" fillId="0" borderId="0" applyFont="0" applyFill="0" applyBorder="0" applyAlignment="0" applyProtection="0"/>
    <xf numFmtId="0" fontId="5" fillId="0" borderId="0">
      <alignment wrapText="1"/>
    </xf>
    <xf numFmtId="165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3" fillId="2" borderId="0" applyNumberFormat="0" applyBorder="0" applyProtection="0">
      <alignment wrapText="1"/>
    </xf>
    <xf numFmtId="0" fontId="24" fillId="0" borderId="0" applyNumberFormat="0" applyFill="0" applyBorder="0" applyProtection="0">
      <alignment wrapText="1"/>
    </xf>
    <xf numFmtId="0" fontId="2" fillId="0" borderId="0"/>
    <xf numFmtId="0" fontId="23" fillId="3" borderId="0" applyNumberFormat="0" applyBorder="0" applyProtection="0">
      <alignment wrapText="1"/>
    </xf>
  </cellStyleXfs>
  <cellXfs count="739">
    <xf numFmtId="0" fontId="0" fillId="0" borderId="0" xfId="0"/>
    <xf numFmtId="165" fontId="13" fillId="0" borderId="9" xfId="1" applyNumberFormat="1" applyFont="1" applyFill="1" applyBorder="1"/>
    <xf numFmtId="0" fontId="5" fillId="0" borderId="9" xfId="0" applyFont="1" applyFill="1" applyBorder="1"/>
    <xf numFmtId="43" fontId="5" fillId="0" borderId="0" xfId="0" applyNumberFormat="1" applyFont="1" applyFill="1" applyBorder="1"/>
    <xf numFmtId="0" fontId="13" fillId="0" borderId="0" xfId="0" applyFont="1" applyFill="1"/>
    <xf numFmtId="43" fontId="5" fillId="0" borderId="0" xfId="0" applyNumberFormat="1" applyFont="1" applyFill="1"/>
    <xf numFmtId="0" fontId="5" fillId="0" borderId="0" xfId="0" applyFont="1" applyFill="1"/>
    <xf numFmtId="0" fontId="16" fillId="0" borderId="0" xfId="0" applyFont="1" applyFill="1" applyAlignment="1" applyProtection="1">
      <alignment horizontal="right"/>
      <protection locked="0"/>
    </xf>
    <xf numFmtId="0" fontId="5" fillId="0" borderId="0" xfId="0" applyFont="1" applyFill="1" applyAlignment="1">
      <alignment horizontal="right"/>
    </xf>
    <xf numFmtId="0" fontId="14" fillId="0" borderId="0" xfId="0" applyFont="1" applyFill="1" applyAlignment="1">
      <alignment horizontal="right"/>
    </xf>
    <xf numFmtId="0" fontId="17" fillId="0" borderId="0" xfId="0" applyFont="1" applyFill="1" applyAlignment="1">
      <alignment horizontal="right"/>
    </xf>
    <xf numFmtId="165" fontId="5" fillId="0" borderId="0" xfId="0" applyNumberFormat="1" applyFont="1" applyFill="1" applyBorder="1"/>
    <xf numFmtId="165" fontId="5" fillId="0" borderId="0" xfId="0" applyNumberFormat="1" applyFont="1" applyFill="1" applyProtection="1">
      <protection locked="0"/>
    </xf>
    <xf numFmtId="165" fontId="5" fillId="0" borderId="0" xfId="0" applyNumberFormat="1" applyFont="1" applyFill="1"/>
    <xf numFmtId="165" fontId="5" fillId="0" borderId="0" xfId="0" applyNumberFormat="1" applyFont="1" applyFill="1" applyAlignment="1">
      <alignment horizontal="right"/>
    </xf>
    <xf numFmtId="165" fontId="14" fillId="0" borderId="0" xfId="0" applyNumberFormat="1" applyFont="1" applyFill="1" applyAlignment="1">
      <alignment horizontal="right"/>
    </xf>
    <xf numFmtId="165" fontId="17" fillId="0" borderId="0" xfId="0" applyNumberFormat="1" applyFont="1" applyFill="1" applyAlignment="1">
      <alignment horizontal="right"/>
    </xf>
    <xf numFmtId="165" fontId="0" fillId="0" borderId="0" xfId="0" applyNumberFormat="1"/>
    <xf numFmtId="3" fontId="9" fillId="0" borderId="0" xfId="0" applyNumberFormat="1" applyFont="1"/>
    <xf numFmtId="3" fontId="9" fillId="0" borderId="0" xfId="0" applyNumberFormat="1" applyFont="1" applyFill="1"/>
    <xf numFmtId="43" fontId="9" fillId="0" borderId="0" xfId="1" applyFont="1"/>
    <xf numFmtId="0" fontId="12" fillId="0" borderId="0" xfId="0" applyFont="1" applyFill="1" applyAlignment="1">
      <alignment horizontal="center"/>
    </xf>
    <xf numFmtId="165" fontId="4" fillId="0" borderId="0" xfId="1" applyNumberFormat="1" applyFont="1" applyFill="1" applyBorder="1" applyAlignment="1"/>
    <xf numFmtId="0" fontId="10" fillId="0" borderId="0" xfId="6" applyFont="1" applyFill="1" applyBorder="1" applyAlignment="1"/>
    <xf numFmtId="0" fontId="13" fillId="0" borderId="0" xfId="2" applyFont="1" applyFill="1" applyBorder="1" applyAlignment="1">
      <alignment horizontal="center" vertical="top"/>
    </xf>
    <xf numFmtId="49" fontId="36" fillId="0" borderId="0" xfId="0" applyNumberFormat="1" applyFont="1" applyFill="1" applyAlignment="1">
      <alignment wrapText="1"/>
    </xf>
    <xf numFmtId="0" fontId="33" fillId="0" borderId="0" xfId="0" applyFont="1" applyFill="1" applyAlignment="1"/>
    <xf numFmtId="49" fontId="38" fillId="0" borderId="0" xfId="0" applyNumberFormat="1" applyFont="1" applyFill="1" applyAlignment="1">
      <alignment wrapText="1"/>
    </xf>
    <xf numFmtId="4" fontId="33" fillId="0" borderId="0" xfId="0" applyNumberFormat="1" applyFont="1" applyFill="1" applyAlignment="1"/>
    <xf numFmtId="164" fontId="33" fillId="0" borderId="0" xfId="0" applyNumberFormat="1" applyFont="1" applyFill="1" applyAlignment="1"/>
    <xf numFmtId="0" fontId="33" fillId="4" borderId="0" xfId="0" applyFont="1" applyFill="1" applyAlignment="1"/>
    <xf numFmtId="0" fontId="38" fillId="0" borderId="0" xfId="0" applyFont="1" applyFill="1" applyAlignment="1"/>
    <xf numFmtId="0" fontId="35" fillId="0" borderId="0" xfId="0" applyFont="1" applyBorder="1" applyAlignment="1">
      <alignment wrapText="1"/>
    </xf>
    <xf numFmtId="166" fontId="10" fillId="4" borderId="0" xfId="20" applyNumberFormat="1" applyFont="1" applyFill="1" applyBorder="1" applyAlignment="1">
      <alignment horizontal="center"/>
    </xf>
    <xf numFmtId="166" fontId="9" fillId="4" borderId="0" xfId="20" applyNumberFormat="1" applyFont="1" applyFill="1" applyBorder="1" applyAlignment="1">
      <alignment horizontal="center"/>
    </xf>
    <xf numFmtId="165" fontId="11" fillId="4" borderId="0" xfId="1" applyNumberFormat="1" applyFont="1" applyFill="1" applyBorder="1"/>
    <xf numFmtId="0" fontId="2" fillId="4" borderId="0" xfId="0" applyFont="1" applyFill="1" applyBorder="1"/>
    <xf numFmtId="0" fontId="19" fillId="4" borderId="0" xfId="0" applyFont="1" applyFill="1" applyBorder="1" applyAlignment="1">
      <alignment vertical="top"/>
    </xf>
    <xf numFmtId="165" fontId="3" fillId="4" borderId="0" xfId="1" applyNumberFormat="1" applyFont="1" applyFill="1" applyBorder="1"/>
    <xf numFmtId="166" fontId="2" fillId="4" borderId="0" xfId="0" applyNumberFormat="1" applyFont="1" applyFill="1" applyBorder="1"/>
    <xf numFmtId="3" fontId="2" fillId="4" borderId="0" xfId="0" applyNumberFormat="1" applyFont="1" applyFill="1" applyBorder="1"/>
    <xf numFmtId="3" fontId="10" fillId="4" borderId="0" xfId="26" applyNumberFormat="1" applyFont="1" applyFill="1" applyBorder="1"/>
    <xf numFmtId="0" fontId="20" fillId="4" borderId="0" xfId="0" applyFont="1" applyFill="1" applyBorder="1" applyAlignment="1">
      <alignment horizontal="left" indent="2"/>
    </xf>
    <xf numFmtId="43" fontId="2" fillId="4" borderId="0" xfId="0" applyNumberFormat="1" applyFont="1" applyFill="1" applyBorder="1"/>
    <xf numFmtId="165" fontId="2" fillId="4" borderId="0" xfId="0" applyNumberFormat="1" applyFont="1" applyFill="1" applyBorder="1"/>
    <xf numFmtId="0" fontId="0" fillId="4" borderId="0" xfId="0" applyFont="1" applyFill="1" applyBorder="1"/>
    <xf numFmtId="166" fontId="19" fillId="4" borderId="0" xfId="0" applyNumberFormat="1" applyFont="1" applyFill="1" applyBorder="1" applyAlignment="1">
      <alignment vertical="top"/>
    </xf>
    <xf numFmtId="165" fontId="25" fillId="4" borderId="0" xfId="0" applyNumberFormat="1" applyFont="1" applyFill="1" applyBorder="1"/>
    <xf numFmtId="3" fontId="19" fillId="4" borderId="0" xfId="0" applyNumberFormat="1" applyFont="1" applyFill="1" applyBorder="1" applyAlignment="1">
      <alignment vertical="top"/>
    </xf>
    <xf numFmtId="0" fontId="9" fillId="4" borderId="0" xfId="18" applyFont="1" applyFill="1"/>
    <xf numFmtId="0" fontId="19" fillId="4" borderId="0" xfId="18" applyFont="1" applyFill="1" applyBorder="1" applyAlignment="1">
      <alignment vertical="top" wrapText="1"/>
    </xf>
    <xf numFmtId="0" fontId="11" fillId="4" borderId="0" xfId="18" applyFont="1" applyFill="1" applyBorder="1" applyAlignment="1">
      <alignment vertical="top" wrapText="1"/>
    </xf>
    <xf numFmtId="0" fontId="9" fillId="4" borderId="0" xfId="18" applyFont="1" applyFill="1" applyBorder="1"/>
    <xf numFmtId="0" fontId="9" fillId="4" borderId="0" xfId="18" applyFont="1" applyFill="1" applyBorder="1" applyAlignment="1">
      <alignment horizontal="center"/>
    </xf>
    <xf numFmtId="166" fontId="9" fillId="4" borderId="0" xfId="18" applyNumberFormat="1" applyFont="1" applyFill="1" applyBorder="1"/>
    <xf numFmtId="0" fontId="9" fillId="4" borderId="0" xfId="18" applyFont="1" applyFill="1" applyBorder="1" applyAlignment="1">
      <alignment vertical="top" wrapText="1"/>
    </xf>
    <xf numFmtId="0" fontId="9" fillId="4" borderId="0" xfId="18" applyFont="1" applyFill="1" applyBorder="1" applyAlignment="1">
      <alignment horizontal="left"/>
    </xf>
    <xf numFmtId="0" fontId="10" fillId="4" borderId="0" xfId="18" applyFont="1" applyFill="1" applyBorder="1" applyAlignment="1">
      <alignment horizontal="center" vertical="center"/>
    </xf>
    <xf numFmtId="49" fontId="9" fillId="4" borderId="0" xfId="18" applyNumberFormat="1" applyFont="1" applyFill="1" applyBorder="1" applyAlignment="1">
      <alignment wrapText="1"/>
    </xf>
    <xf numFmtId="43" fontId="9" fillId="4" borderId="0" xfId="1" applyFont="1" applyFill="1" applyBorder="1" applyAlignment="1">
      <alignment wrapText="1"/>
    </xf>
    <xf numFmtId="43" fontId="2" fillId="4" borderId="0" xfId="5" applyFont="1" applyFill="1"/>
    <xf numFmtId="166" fontId="9" fillId="4" borderId="0" xfId="18" applyNumberFormat="1" applyFont="1" applyFill="1"/>
    <xf numFmtId="165" fontId="9" fillId="4" borderId="0" xfId="18" applyNumberFormat="1" applyFont="1" applyFill="1"/>
    <xf numFmtId="0" fontId="12" fillId="4" borderId="0" xfId="0" applyFont="1" applyFill="1" applyAlignment="1">
      <alignment horizontal="center"/>
    </xf>
    <xf numFmtId="0" fontId="0" fillId="4" borderId="0" xfId="0" applyFill="1"/>
    <xf numFmtId="165" fontId="0" fillId="4" borderId="0" xfId="0" applyNumberFormat="1" applyFill="1"/>
    <xf numFmtId="0" fontId="11" fillId="4" borderId="0" xfId="0" applyFont="1" applyFill="1"/>
    <xf numFmtId="166" fontId="11" fillId="4" borderId="0" xfId="0" applyNumberFormat="1" applyFont="1" applyFill="1"/>
    <xf numFmtId="0" fontId="8" fillId="4" borderId="0" xfId="0" applyFont="1" applyFill="1" applyAlignment="1">
      <alignment wrapText="1"/>
    </xf>
    <xf numFmtId="165" fontId="11" fillId="4" borderId="0" xfId="0" applyNumberFormat="1" applyFont="1" applyFill="1"/>
    <xf numFmtId="0" fontId="31" fillId="4" borderId="24" xfId="2" applyFont="1" applyFill="1" applyBorder="1" applyAlignment="1">
      <alignment horizontal="center" vertical="top"/>
    </xf>
    <xf numFmtId="0" fontId="10" fillId="4" borderId="22" xfId="0" applyFont="1" applyFill="1" applyBorder="1" applyAlignment="1">
      <alignment horizontal="center"/>
    </xf>
    <xf numFmtId="0" fontId="10" fillId="4" borderId="23" xfId="0" applyFont="1" applyFill="1" applyBorder="1" applyAlignment="1">
      <alignment horizontal="center"/>
    </xf>
    <xf numFmtId="0" fontId="10" fillId="4" borderId="24" xfId="0" applyFont="1" applyFill="1" applyBorder="1" applyAlignment="1">
      <alignment horizontal="center"/>
    </xf>
    <xf numFmtId="0" fontId="11" fillId="4" borderId="25" xfId="0" applyFont="1" applyFill="1" applyBorder="1"/>
    <xf numFmtId="0" fontId="11" fillId="4" borderId="23" xfId="0" applyFont="1" applyFill="1" applyBorder="1"/>
    <xf numFmtId="0" fontId="10" fillId="4" borderId="25" xfId="6" applyFont="1" applyFill="1" applyBorder="1"/>
    <xf numFmtId="0" fontId="10" fillId="4" borderId="23" xfId="6" applyFont="1" applyFill="1" applyBorder="1" applyAlignment="1">
      <alignment horizontal="center"/>
    </xf>
    <xf numFmtId="166" fontId="10" fillId="4" borderId="23" xfId="20" applyNumberFormat="1" applyFont="1" applyFill="1" applyBorder="1" applyAlignment="1">
      <alignment horizontal="center"/>
    </xf>
    <xf numFmtId="49" fontId="19" fillId="4" borderId="26" xfId="6" applyNumberFormat="1" applyFont="1" applyFill="1" applyBorder="1" applyAlignment="1">
      <alignment vertical="top" wrapText="1"/>
    </xf>
    <xf numFmtId="0" fontId="10" fillId="4" borderId="23" xfId="6" applyFont="1" applyFill="1" applyBorder="1" applyAlignment="1">
      <alignment horizontal="left"/>
    </xf>
    <xf numFmtId="0" fontId="9" fillId="4" borderId="25" xfId="0" applyFont="1" applyFill="1" applyBorder="1"/>
    <xf numFmtId="0" fontId="9" fillId="4" borderId="23" xfId="6" applyFont="1" applyFill="1" applyBorder="1" applyAlignment="1">
      <alignment horizontal="left"/>
    </xf>
    <xf numFmtId="166" fontId="9" fillId="4" borderId="23" xfId="20" applyNumberFormat="1" applyFont="1" applyFill="1" applyBorder="1" applyAlignment="1">
      <alignment horizontal="center" vertical="top"/>
    </xf>
    <xf numFmtId="0" fontId="10" fillId="4" borderId="23" xfId="0" applyFont="1" applyFill="1" applyBorder="1" applyAlignment="1">
      <alignment wrapText="1"/>
    </xf>
    <xf numFmtId="165" fontId="9" fillId="4" borderId="23" xfId="4" applyNumberFormat="1" applyFont="1" applyFill="1" applyBorder="1" applyAlignment="1">
      <alignment horizontal="center"/>
    </xf>
    <xf numFmtId="0" fontId="10" fillId="4" borderId="25" xfId="6" applyFont="1" applyFill="1" applyBorder="1" applyAlignment="1">
      <alignment horizontal="left"/>
    </xf>
    <xf numFmtId="0" fontId="9" fillId="4" borderId="25" xfId="6" applyFont="1" applyFill="1" applyBorder="1" applyAlignment="1">
      <alignment horizontal="right"/>
    </xf>
    <xf numFmtId="166" fontId="9" fillId="4" borderId="23" xfId="20" applyNumberFormat="1" applyFont="1" applyFill="1" applyBorder="1" applyAlignment="1">
      <alignment horizontal="center"/>
    </xf>
    <xf numFmtId="0" fontId="9" fillId="4" borderId="25" xfId="0" applyFont="1" applyFill="1" applyBorder="1" applyAlignment="1">
      <alignment horizontal="right"/>
    </xf>
    <xf numFmtId="0" fontId="9" fillId="4" borderId="23" xfId="6" applyFont="1" applyFill="1" applyBorder="1" applyAlignment="1">
      <alignment horizontal="left" vertical="top"/>
    </xf>
    <xf numFmtId="166" fontId="10" fillId="4" borderId="23" xfId="20" applyNumberFormat="1" applyFont="1" applyFill="1" applyBorder="1" applyAlignment="1">
      <alignment horizontal="center" vertical="top"/>
    </xf>
    <xf numFmtId="0" fontId="9" fillId="4" borderId="25" xfId="6" applyFont="1" applyFill="1" applyBorder="1" applyAlignment="1">
      <alignment horizontal="right" vertical="top"/>
    </xf>
    <xf numFmtId="0" fontId="10" fillId="4" borderId="23" xfId="6" applyFont="1" applyFill="1" applyBorder="1" applyAlignment="1">
      <alignment horizontal="left" vertical="top"/>
    </xf>
    <xf numFmtId="0" fontId="9" fillId="4" borderId="23" xfId="0" applyFont="1" applyFill="1" applyBorder="1"/>
    <xf numFmtId="0" fontId="10" fillId="4" borderId="25" xfId="0" applyFont="1" applyFill="1" applyBorder="1"/>
    <xf numFmtId="166" fontId="9" fillId="4" borderId="23" xfId="0" applyNumberFormat="1" applyFont="1" applyFill="1" applyBorder="1"/>
    <xf numFmtId="0" fontId="10" fillId="4" borderId="25" xfId="6" applyFont="1" applyFill="1" applyBorder="1" applyAlignment="1">
      <alignment horizontal="left" indent="3"/>
    </xf>
    <xf numFmtId="0" fontId="9" fillId="4" borderId="25" xfId="6" applyFont="1" applyFill="1" applyBorder="1"/>
    <xf numFmtId="0" fontId="9" fillId="4" borderId="25" xfId="6" applyFont="1" applyFill="1" applyBorder="1" applyAlignment="1"/>
    <xf numFmtId="0" fontId="9" fillId="4" borderId="25" xfId="6" applyFont="1" applyFill="1" applyBorder="1" applyAlignment="1">
      <alignment vertical="top"/>
    </xf>
    <xf numFmtId="0" fontId="10" fillId="4" borderId="26" xfId="0" applyFont="1" applyFill="1" applyBorder="1" applyAlignment="1">
      <alignment horizontal="center"/>
    </xf>
    <xf numFmtId="165" fontId="11" fillId="4" borderId="23" xfId="1" applyNumberFormat="1" applyFont="1" applyFill="1" applyBorder="1"/>
    <xf numFmtId="0" fontId="11" fillId="4" borderId="26" xfId="0" applyFont="1" applyFill="1" applyBorder="1" applyAlignment="1"/>
    <xf numFmtId="0" fontId="10" fillId="4" borderId="25" xfId="0" applyFont="1" applyFill="1" applyBorder="1" applyAlignment="1">
      <alignment horizontal="left" indent="3"/>
    </xf>
    <xf numFmtId="0" fontId="12" fillId="4" borderId="23" xfId="0" applyFont="1" applyFill="1" applyBorder="1" applyAlignment="1">
      <alignment horizontal="center"/>
    </xf>
    <xf numFmtId="166" fontId="10" fillId="4" borderId="23" xfId="0" applyNumberFormat="1" applyFont="1" applyFill="1" applyBorder="1"/>
    <xf numFmtId="0" fontId="10" fillId="4" borderId="23" xfId="0" applyFont="1" applyFill="1" applyBorder="1"/>
    <xf numFmtId="0" fontId="9" fillId="4" borderId="23" xfId="0" applyFont="1" applyFill="1" applyBorder="1" applyAlignment="1">
      <alignment wrapText="1"/>
    </xf>
    <xf numFmtId="0" fontId="9" fillId="4" borderId="23" xfId="0" applyFont="1" applyFill="1" applyBorder="1" applyAlignment="1">
      <alignment vertical="top" wrapText="1"/>
    </xf>
    <xf numFmtId="49" fontId="9" fillId="4" borderId="26" xfId="6" applyNumberFormat="1" applyFont="1" applyFill="1" applyBorder="1" applyAlignment="1">
      <alignment vertical="top" wrapText="1"/>
    </xf>
    <xf numFmtId="0" fontId="9" fillId="4" borderId="25" xfId="0" applyFont="1" applyFill="1" applyBorder="1" applyAlignment="1">
      <alignment vertical="top"/>
    </xf>
    <xf numFmtId="0" fontId="9" fillId="4" borderId="23" xfId="0" applyFont="1" applyFill="1" applyBorder="1" applyAlignment="1">
      <alignment vertical="top"/>
    </xf>
    <xf numFmtId="0" fontId="10" fillId="4" borderId="23" xfId="0" applyFont="1" applyFill="1" applyBorder="1" applyAlignment="1">
      <alignment vertical="top"/>
    </xf>
    <xf numFmtId="49" fontId="9" fillId="4" borderId="26" xfId="0" applyNumberFormat="1" applyFont="1" applyFill="1" applyBorder="1" applyAlignment="1">
      <alignment vertical="top"/>
    </xf>
    <xf numFmtId="166" fontId="9" fillId="4" borderId="23" xfId="3" applyNumberFormat="1" applyFont="1" applyFill="1" applyBorder="1"/>
    <xf numFmtId="49" fontId="9" fillId="4" borderId="26" xfId="6" applyNumberFormat="1" applyFont="1" applyFill="1" applyBorder="1" applyAlignment="1">
      <alignment vertical="top"/>
    </xf>
    <xf numFmtId="0" fontId="10" fillId="4" borderId="25" xfId="6" applyFont="1" applyFill="1" applyBorder="1" applyAlignment="1">
      <alignment horizontal="left" indent="2"/>
    </xf>
    <xf numFmtId="0" fontId="9" fillId="4" borderId="23" xfId="6" applyFont="1" applyFill="1" applyBorder="1" applyAlignment="1">
      <alignment horizontal="left" wrapText="1"/>
    </xf>
    <xf numFmtId="0" fontId="9" fillId="4" borderId="26" xfId="0" applyFont="1" applyFill="1" applyBorder="1" applyAlignment="1">
      <alignment vertical="top"/>
    </xf>
    <xf numFmtId="3" fontId="10" fillId="4" borderId="23" xfId="1" applyNumberFormat="1" applyFont="1" applyFill="1" applyBorder="1" applyAlignment="1">
      <alignment vertical="top"/>
    </xf>
    <xf numFmtId="0" fontId="9" fillId="4" borderId="26" xfId="0" applyFont="1" applyFill="1" applyBorder="1" applyAlignment="1">
      <alignment horizontal="left" indent="2"/>
    </xf>
    <xf numFmtId="3" fontId="10" fillId="4" borderId="23" xfId="1" applyNumberFormat="1" applyFont="1" applyFill="1" applyBorder="1"/>
    <xf numFmtId="0" fontId="9" fillId="4" borderId="22" xfId="0" applyFont="1" applyFill="1" applyBorder="1"/>
    <xf numFmtId="165" fontId="10" fillId="4" borderId="23" xfId="1" applyNumberFormat="1" applyFont="1" applyFill="1" applyBorder="1"/>
    <xf numFmtId="0" fontId="9" fillId="4" borderId="24" xfId="0" applyFont="1" applyFill="1" applyBorder="1" applyAlignment="1">
      <alignment vertical="top"/>
    </xf>
    <xf numFmtId="165" fontId="9" fillId="4" borderId="23" xfId="1" applyNumberFormat="1" applyFont="1" applyFill="1" applyBorder="1"/>
    <xf numFmtId="0" fontId="9" fillId="4" borderId="27" xfId="0" applyFont="1" applyFill="1" applyBorder="1"/>
    <xf numFmtId="0" fontId="9" fillId="4" borderId="28" xfId="0" applyFont="1" applyFill="1" applyBorder="1"/>
    <xf numFmtId="165" fontId="9" fillId="4" borderId="28" xfId="1" applyNumberFormat="1" applyFont="1" applyFill="1" applyBorder="1"/>
    <xf numFmtId="0" fontId="9" fillId="4" borderId="29" xfId="0" applyFont="1" applyFill="1" applyBorder="1" applyAlignment="1">
      <alignment vertical="top"/>
    </xf>
    <xf numFmtId="165" fontId="4" fillId="4" borderId="27" xfId="1" applyNumberFormat="1" applyFont="1" applyFill="1" applyBorder="1"/>
    <xf numFmtId="0" fontId="11" fillId="4" borderId="28" xfId="2" applyFont="1" applyFill="1" applyBorder="1" applyAlignment="1">
      <alignment wrapText="1"/>
    </xf>
    <xf numFmtId="43" fontId="11" fillId="4" borderId="28" xfId="3" applyNumberFormat="1" applyFont="1" applyFill="1" applyBorder="1"/>
    <xf numFmtId="0" fontId="31" fillId="4" borderId="29" xfId="2" applyFont="1" applyFill="1" applyBorder="1" applyAlignment="1">
      <alignment vertical="top"/>
    </xf>
    <xf numFmtId="0" fontId="11" fillId="4" borderId="31" xfId="0" applyFont="1" applyFill="1" applyBorder="1"/>
    <xf numFmtId="0" fontId="11" fillId="4" borderId="30" xfId="0" applyFont="1" applyFill="1" applyBorder="1"/>
    <xf numFmtId="0" fontId="11" fillId="4" borderId="32" xfId="0" applyFont="1" applyFill="1" applyBorder="1"/>
    <xf numFmtId="0" fontId="8" fillId="4" borderId="19" xfId="2" applyFont="1" applyFill="1" applyBorder="1" applyAlignment="1"/>
    <xf numFmtId="0" fontId="11" fillId="4" borderId="20" xfId="2" applyFont="1" applyFill="1" applyBorder="1" applyAlignment="1">
      <alignment wrapText="1"/>
    </xf>
    <xf numFmtId="43" fontId="11" fillId="4" borderId="20" xfId="3" applyNumberFormat="1" applyFont="1" applyFill="1" applyBorder="1"/>
    <xf numFmtId="0" fontId="29" fillId="4" borderId="21" xfId="2" applyFont="1" applyFill="1" applyBorder="1" applyAlignment="1">
      <alignment vertical="top"/>
    </xf>
    <xf numFmtId="0" fontId="8" fillId="4" borderId="27" xfId="0" applyFont="1" applyFill="1" applyBorder="1" applyAlignment="1">
      <alignment horizontal="center"/>
    </xf>
    <xf numFmtId="0" fontId="11" fillId="4" borderId="28" xfId="0" applyFont="1" applyFill="1" applyBorder="1" applyAlignment="1">
      <alignment wrapText="1"/>
    </xf>
    <xf numFmtId="166" fontId="11" fillId="4" borderId="28" xfId="1" applyNumberFormat="1" applyFont="1" applyFill="1" applyBorder="1" applyAlignment="1">
      <alignment horizontal="center"/>
    </xf>
    <xf numFmtId="49" fontId="29" fillId="4" borderId="29" xfId="0" applyNumberFormat="1" applyFont="1" applyFill="1" applyBorder="1" applyAlignment="1">
      <alignment vertical="top"/>
    </xf>
    <xf numFmtId="0" fontId="9" fillId="4" borderId="33" xfId="6" applyFont="1" applyFill="1" applyBorder="1" applyAlignment="1">
      <alignment horizontal="right" vertical="top"/>
    </xf>
    <xf numFmtId="0" fontId="9" fillId="4" borderId="34" xfId="6" applyFont="1" applyFill="1" applyBorder="1" applyAlignment="1">
      <alignment horizontal="left" vertical="top"/>
    </xf>
    <xf numFmtId="166" fontId="9" fillId="4" borderId="34" xfId="20" applyNumberFormat="1" applyFont="1" applyFill="1" applyBorder="1" applyAlignment="1">
      <alignment horizontal="center" vertical="top"/>
    </xf>
    <xf numFmtId="49" fontId="9" fillId="4" borderId="35" xfId="6" applyNumberFormat="1" applyFont="1" applyFill="1" applyBorder="1" applyAlignment="1">
      <alignment vertical="top" wrapText="1"/>
    </xf>
    <xf numFmtId="0" fontId="9" fillId="4" borderId="19" xfId="0" applyFont="1" applyFill="1" applyBorder="1"/>
    <xf numFmtId="0" fontId="10" fillId="4" borderId="20" xfId="0" applyFont="1" applyFill="1" applyBorder="1"/>
    <xf numFmtId="165" fontId="10" fillId="4" borderId="20" xfId="1" applyNumberFormat="1" applyFont="1" applyFill="1" applyBorder="1"/>
    <xf numFmtId="0" fontId="9" fillId="4" borderId="21" xfId="0" applyFont="1" applyFill="1" applyBorder="1" applyAlignment="1">
      <alignment vertical="top"/>
    </xf>
    <xf numFmtId="0" fontId="12" fillId="4" borderId="27" xfId="0" applyFont="1" applyFill="1" applyBorder="1" applyAlignment="1">
      <alignment horizontal="center"/>
    </xf>
    <xf numFmtId="0" fontId="12" fillId="4" borderId="28" xfId="0" applyFont="1" applyFill="1" applyBorder="1" applyAlignment="1">
      <alignment horizontal="center"/>
    </xf>
    <xf numFmtId="0" fontId="12" fillId="4" borderId="29" xfId="0" applyFont="1" applyFill="1" applyBorder="1" applyAlignment="1">
      <alignment horizontal="center"/>
    </xf>
    <xf numFmtId="0" fontId="13" fillId="0" borderId="15" xfId="0" applyFont="1" applyFill="1" applyBorder="1" applyAlignment="1">
      <alignment horizontal="center"/>
    </xf>
    <xf numFmtId="0" fontId="13" fillId="0" borderId="36" xfId="0" applyFont="1" applyFill="1" applyBorder="1" applyAlignment="1">
      <alignment horizontal="center"/>
    </xf>
    <xf numFmtId="167" fontId="15" fillId="0" borderId="36" xfId="1" applyNumberFormat="1" applyFont="1" applyFill="1" applyBorder="1" applyProtection="1"/>
    <xf numFmtId="37" fontId="13" fillId="0" borderId="16" xfId="0" applyNumberFormat="1" applyFont="1" applyFill="1" applyBorder="1" applyAlignment="1">
      <alignment horizontal="center"/>
    </xf>
    <xf numFmtId="165" fontId="13" fillId="0" borderId="17" xfId="1" applyNumberFormat="1" applyFont="1" applyFill="1" applyBorder="1" applyAlignment="1"/>
    <xf numFmtId="165" fontId="13" fillId="0" borderId="17" xfId="1" applyNumberFormat="1" applyFont="1" applyFill="1" applyBorder="1"/>
    <xf numFmtId="165" fontId="13" fillId="0" borderId="17" xfId="1" applyNumberFormat="1" applyFont="1" applyFill="1" applyBorder="1" applyAlignment="1">
      <alignment horizontal="left" indent="1"/>
    </xf>
    <xf numFmtId="165" fontId="5" fillId="0" borderId="17" xfId="1" applyNumberFormat="1" applyFont="1" applyFill="1" applyBorder="1" applyAlignment="1">
      <alignment horizontal="left" indent="1"/>
    </xf>
    <xf numFmtId="165" fontId="5" fillId="0" borderId="17" xfId="1" applyNumberFormat="1" applyFont="1" applyFill="1" applyBorder="1"/>
    <xf numFmtId="165" fontId="5" fillId="0" borderId="17" xfId="1" applyNumberFormat="1" applyFont="1" applyFill="1" applyBorder="1" applyAlignment="1" applyProtection="1">
      <alignment horizontal="left" indent="1"/>
    </xf>
    <xf numFmtId="165" fontId="13" fillId="0" borderId="17" xfId="1" applyNumberFormat="1" applyFont="1" applyFill="1" applyBorder="1" applyAlignment="1" applyProtection="1">
      <alignment horizontal="left" indent="1"/>
    </xf>
    <xf numFmtId="0" fontId="5" fillId="0" borderId="17" xfId="0" applyFont="1" applyFill="1" applyBorder="1" applyAlignment="1" applyProtection="1">
      <alignment horizontal="left" indent="1"/>
    </xf>
    <xf numFmtId="165" fontId="5" fillId="0" borderId="17" xfId="5" applyNumberFormat="1" applyFont="1" applyFill="1" applyBorder="1" applyAlignment="1" applyProtection="1">
      <alignment horizontal="left" indent="1"/>
    </xf>
    <xf numFmtId="0" fontId="13" fillId="0" borderId="17" xfId="0" applyFont="1" applyFill="1" applyBorder="1" applyAlignment="1" applyProtection="1">
      <alignment horizontal="left" indent="1"/>
    </xf>
    <xf numFmtId="1" fontId="13" fillId="0" borderId="17" xfId="6" applyNumberFormat="1" applyFont="1" applyFill="1" applyBorder="1" applyAlignment="1">
      <alignment horizontal="left" indent="1"/>
    </xf>
    <xf numFmtId="0" fontId="5" fillId="0" borderId="17" xfId="6" applyFont="1" applyFill="1" applyBorder="1" applyAlignment="1" applyProtection="1">
      <alignment horizontal="left" indent="1"/>
    </xf>
    <xf numFmtId="165" fontId="5" fillId="0" borderId="15" xfId="1" applyNumberFormat="1" applyFont="1" applyFill="1" applyBorder="1"/>
    <xf numFmtId="165" fontId="13" fillId="0" borderId="36" xfId="1" applyNumberFormat="1" applyFont="1" applyFill="1" applyBorder="1" applyAlignment="1">
      <alignment horizontal="center"/>
    </xf>
    <xf numFmtId="165" fontId="5" fillId="0" borderId="16" xfId="1" applyNumberFormat="1" applyFont="1" applyFill="1" applyBorder="1"/>
    <xf numFmtId="165" fontId="14" fillId="0" borderId="17" xfId="1" applyNumberFormat="1" applyFont="1" applyFill="1" applyBorder="1"/>
    <xf numFmtId="0" fontId="40" fillId="0" borderId="0" xfId="0" applyFont="1" applyFill="1" applyBorder="1" applyAlignment="1">
      <alignment horizontal="center"/>
    </xf>
    <xf numFmtId="0" fontId="40" fillId="0" borderId="0" xfId="0" applyFont="1" applyFill="1" applyBorder="1" applyAlignment="1">
      <alignment horizontal="left"/>
    </xf>
    <xf numFmtId="0" fontId="40" fillId="4" borderId="9" xfId="0" applyFont="1" applyFill="1" applyBorder="1" applyAlignment="1">
      <alignment horizontal="right"/>
    </xf>
    <xf numFmtId="0" fontId="40" fillId="0" borderId="17" xfId="0" applyFont="1" applyFill="1" applyBorder="1" applyAlignment="1">
      <alignment horizontal="center"/>
    </xf>
    <xf numFmtId="0" fontId="39" fillId="0" borderId="17" xfId="0" applyFont="1" applyFill="1" applyBorder="1" applyAlignment="1">
      <alignment horizontal="center" vertical="center"/>
    </xf>
    <xf numFmtId="0" fontId="39" fillId="0" borderId="17" xfId="0" applyFont="1" applyFill="1" applyBorder="1" applyAlignment="1">
      <alignment vertical="center" wrapText="1"/>
    </xf>
    <xf numFmtId="4" fontId="39" fillId="0" borderId="17" xfId="1" applyNumberFormat="1" applyFont="1" applyFill="1" applyBorder="1" applyAlignment="1">
      <alignment vertical="center"/>
    </xf>
    <xf numFmtId="0" fontId="39" fillId="0" borderId="17" xfId="0" applyFont="1" applyFill="1" applyBorder="1" applyAlignment="1">
      <alignment vertical="center"/>
    </xf>
    <xf numFmtId="0" fontId="8" fillId="0" borderId="17" xfId="0" applyFont="1" applyFill="1" applyBorder="1" applyAlignment="1">
      <alignment horizontal="left" vertical="center" wrapText="1"/>
    </xf>
    <xf numFmtId="4" fontId="8" fillId="0" borderId="17" xfId="0" applyNumberFormat="1" applyFont="1" applyFill="1" applyBorder="1" applyAlignment="1">
      <alignment horizontal="right" vertical="center"/>
    </xf>
    <xf numFmtId="4" fontId="39" fillId="0" borderId="17" xfId="0" applyNumberFormat="1" applyFont="1" applyFill="1" applyBorder="1" applyAlignment="1">
      <alignment vertical="center"/>
    </xf>
    <xf numFmtId="43" fontId="39" fillId="0" borderId="17" xfId="1" applyFont="1" applyFill="1" applyBorder="1" applyAlignment="1">
      <alignment horizontal="center" vertical="center"/>
    </xf>
    <xf numFmtId="0" fontId="39" fillId="4" borderId="17" xfId="0" applyFont="1" applyFill="1" applyBorder="1" applyAlignment="1">
      <alignment horizontal="center" vertical="center"/>
    </xf>
    <xf numFmtId="4" fontId="8" fillId="0" borderId="17" xfId="0" applyNumberFormat="1" applyFont="1" applyFill="1" applyBorder="1" applyAlignment="1">
      <alignment horizontal="right"/>
    </xf>
    <xf numFmtId="4" fontId="39" fillId="0" borderId="17" xfId="0" applyNumberFormat="1" applyFont="1" applyFill="1" applyBorder="1" applyAlignment="1"/>
    <xf numFmtId="43" fontId="39" fillId="0" borderId="17" xfId="1" applyFont="1" applyFill="1" applyBorder="1" applyAlignment="1">
      <alignment horizontal="center"/>
    </xf>
    <xf numFmtId="0" fontId="39" fillId="0" borderId="17" xfId="0" applyFont="1" applyFill="1" applyBorder="1" applyAlignment="1">
      <alignment wrapText="1"/>
    </xf>
    <xf numFmtId="0" fontId="8" fillId="4" borderId="17" xfId="0" applyFont="1" applyFill="1" applyBorder="1" applyAlignment="1">
      <alignment horizontal="left" vertical="center" wrapText="1"/>
    </xf>
    <xf numFmtId="4" fontId="8" fillId="4" borderId="17" xfId="0" applyNumberFormat="1" applyFont="1" applyFill="1" applyBorder="1" applyAlignment="1">
      <alignment horizontal="right" vertical="center"/>
    </xf>
    <xf numFmtId="4" fontId="39" fillId="4" borderId="17" xfId="0" applyNumberFormat="1" applyFont="1" applyFill="1" applyBorder="1" applyAlignment="1">
      <alignment vertical="center"/>
    </xf>
    <xf numFmtId="43" fontId="39" fillId="4" borderId="17" xfId="1" applyFont="1" applyFill="1" applyBorder="1" applyAlignment="1">
      <alignment horizontal="center" vertical="center"/>
    </xf>
    <xf numFmtId="0" fontId="39" fillId="0" borderId="17" xfId="0" applyFont="1" applyFill="1" applyBorder="1" applyAlignment="1">
      <alignment horizontal="center" vertical="center" wrapText="1"/>
    </xf>
    <xf numFmtId="0" fontId="42" fillId="0" borderId="17" xfId="0" applyFont="1" applyBorder="1" applyAlignment="1">
      <alignment horizontal="left" vertical="center" wrapText="1"/>
    </xf>
    <xf numFmtId="4" fontId="39" fillId="0" borderId="17" xfId="1" applyNumberFormat="1" applyFont="1" applyFill="1" applyBorder="1" applyAlignment="1">
      <alignment horizontal="right" vertical="center" wrapText="1"/>
    </xf>
    <xf numFmtId="0" fontId="39" fillId="0" borderId="17" xfId="0" applyFont="1" applyBorder="1" applyAlignment="1">
      <alignment horizontal="left" vertical="center" wrapText="1"/>
    </xf>
    <xf numFmtId="43" fontId="8" fillId="0" borderId="17" xfId="1" applyFont="1" applyFill="1" applyBorder="1" applyAlignment="1">
      <alignment vertical="center" wrapText="1"/>
    </xf>
    <xf numFmtId="4" fontId="8" fillId="0" borderId="17" xfId="1" applyNumberFormat="1" applyFont="1" applyFill="1" applyBorder="1" applyAlignment="1">
      <alignment vertical="center" wrapText="1"/>
    </xf>
    <xf numFmtId="4" fontId="8" fillId="0" borderId="17" xfId="0" applyNumberFormat="1" applyFont="1" applyFill="1" applyBorder="1" applyAlignment="1">
      <alignment horizontal="right" vertical="center" wrapText="1"/>
    </xf>
    <xf numFmtId="0" fontId="8" fillId="0" borderId="17" xfId="0" applyFont="1" applyFill="1" applyBorder="1" applyAlignment="1">
      <alignment horizontal="justify" vertical="center" wrapText="1"/>
    </xf>
    <xf numFmtId="0" fontId="39" fillId="0" borderId="17" xfId="0" applyFont="1" applyFill="1" applyBorder="1" applyAlignment="1">
      <alignment horizontal="left" vertical="center" wrapText="1"/>
    </xf>
    <xf numFmtId="43" fontId="39" fillId="0" borderId="17" xfId="1" applyFont="1" applyFill="1" applyBorder="1" applyAlignment="1">
      <alignment horizontal="right" vertical="center" wrapText="1"/>
    </xf>
    <xf numFmtId="4" fontId="39" fillId="4" borderId="17" xfId="0" applyNumberFormat="1" applyFont="1" applyFill="1" applyBorder="1" applyAlignment="1">
      <alignment horizontal="right" vertical="center"/>
    </xf>
    <xf numFmtId="0" fontId="8" fillId="0" borderId="17" xfId="0" applyFont="1" applyFill="1" applyBorder="1" applyAlignment="1"/>
    <xf numFmtId="0" fontId="45" fillId="0" borderId="17" xfId="0" applyFont="1" applyFill="1" applyBorder="1" applyAlignment="1">
      <alignment horizontal="center" vertical="center"/>
    </xf>
    <xf numFmtId="4" fontId="40" fillId="0" borderId="17" xfId="0" applyNumberFormat="1" applyFont="1" applyFill="1" applyBorder="1" applyAlignment="1"/>
    <xf numFmtId="0" fontId="8" fillId="0" borderId="0" xfId="0" applyFont="1" applyFill="1" applyAlignment="1"/>
    <xf numFmtId="0" fontId="39" fillId="4" borderId="17" xfId="6" applyFont="1" applyFill="1" applyBorder="1" applyAlignment="1">
      <alignment horizontal="justify" vertical="distributed" wrapText="1"/>
    </xf>
    <xf numFmtId="4" fontId="8" fillId="0" borderId="0" xfId="0" applyNumberFormat="1" applyFont="1" applyFill="1" applyAlignment="1"/>
    <xf numFmtId="0" fontId="7" fillId="0" borderId="17" xfId="0" applyFont="1" applyFill="1" applyBorder="1" applyAlignment="1">
      <alignment horizontal="center" vertical="center"/>
    </xf>
    <xf numFmtId="0" fontId="47" fillId="4" borderId="17" xfId="0" applyFont="1" applyFill="1" applyBorder="1" applyAlignment="1">
      <alignment horizontal="center" vertical="center"/>
    </xf>
    <xf numFmtId="4" fontId="47" fillId="0" borderId="17" xfId="0" applyNumberFormat="1" applyFont="1" applyFill="1" applyBorder="1" applyAlignment="1"/>
    <xf numFmtId="4" fontId="47" fillId="4" borderId="17" xfId="0" applyNumberFormat="1" applyFont="1" applyFill="1" applyBorder="1" applyAlignment="1"/>
    <xf numFmtId="0" fontId="48" fillId="4" borderId="0" xfId="0" applyFont="1" applyFill="1" applyBorder="1" applyAlignment="1">
      <alignment horizontal="center"/>
    </xf>
    <xf numFmtId="0" fontId="48" fillId="0" borderId="0" xfId="0" applyFont="1" applyFill="1" applyBorder="1" applyAlignment="1">
      <alignment horizontal="left"/>
    </xf>
    <xf numFmtId="0" fontId="48" fillId="0" borderId="0" xfId="0" applyFont="1" applyFill="1" applyBorder="1" applyAlignment="1">
      <alignment horizontal="center"/>
    </xf>
    <xf numFmtId="0" fontId="48" fillId="4" borderId="9" xfId="0" applyFont="1" applyFill="1" applyBorder="1" applyAlignment="1">
      <alignment horizontal="right"/>
    </xf>
    <xf numFmtId="0" fontId="48" fillId="0" borderId="17" xfId="0" applyFont="1" applyFill="1" applyBorder="1" applyAlignment="1">
      <alignment horizontal="center" vertical="center"/>
    </xf>
    <xf numFmtId="0" fontId="50" fillId="4" borderId="17" xfId="0" applyFont="1" applyFill="1" applyBorder="1" applyAlignment="1">
      <alignment horizontal="center" vertical="center"/>
    </xf>
    <xf numFmtId="4" fontId="50" fillId="0" borderId="17" xfId="0" applyNumberFormat="1" applyFont="1" applyFill="1" applyBorder="1" applyAlignment="1">
      <alignment horizontal="right"/>
    </xf>
    <xf numFmtId="43" fontId="50" fillId="0" borderId="17" xfId="1" applyFont="1" applyFill="1" applyBorder="1" applyAlignment="1">
      <alignment horizontal="right"/>
    </xf>
    <xf numFmtId="43" fontId="50" fillId="0" borderId="17" xfId="1" applyFont="1" applyFill="1" applyBorder="1" applyAlignment="1">
      <alignment horizontal="center"/>
    </xf>
    <xf numFmtId="0" fontId="50" fillId="4" borderId="0" xfId="0" applyFont="1" applyFill="1" applyBorder="1" applyAlignment="1">
      <alignment horizontal="center" vertical="center"/>
    </xf>
    <xf numFmtId="4" fontId="50" fillId="0" borderId="17" xfId="0" applyNumberFormat="1" applyFont="1" applyFill="1" applyBorder="1" applyAlignment="1"/>
    <xf numFmtId="4" fontId="50" fillId="4" borderId="17" xfId="0" applyNumberFormat="1" applyFont="1" applyFill="1" applyBorder="1" applyAlignment="1"/>
    <xf numFmtId="43" fontId="50" fillId="4" borderId="17" xfId="1" applyFont="1" applyFill="1" applyBorder="1" applyAlignment="1">
      <alignment horizontal="center"/>
    </xf>
    <xf numFmtId="4" fontId="50" fillId="4" borderId="17" xfId="0" applyNumberFormat="1" applyFont="1" applyFill="1" applyBorder="1" applyAlignment="1">
      <alignment horizontal="right"/>
    </xf>
    <xf numFmtId="43" fontId="50" fillId="4" borderId="17" xfId="1" applyFont="1" applyFill="1" applyBorder="1" applyAlignment="1">
      <alignment horizontal="right"/>
    </xf>
    <xf numFmtId="0" fontId="11" fillId="4" borderId="17" xfId="0" applyFont="1" applyFill="1" applyBorder="1" applyAlignment="1"/>
    <xf numFmtId="0" fontId="48" fillId="0" borderId="17" xfId="0" applyFont="1" applyFill="1" applyBorder="1" applyAlignment="1">
      <alignment horizontal="left" wrapText="1"/>
    </xf>
    <xf numFmtId="4" fontId="48" fillId="0" borderId="17" xfId="0" applyNumberFormat="1" applyFont="1" applyFill="1" applyBorder="1" applyAlignment="1"/>
    <xf numFmtId="0" fontId="50" fillId="0" borderId="17" xfId="0" applyFont="1" applyFill="1" applyBorder="1" applyAlignment="1"/>
    <xf numFmtId="0" fontId="47" fillId="0" borderId="17" xfId="0" applyFont="1" applyFill="1" applyBorder="1" applyAlignment="1">
      <alignment horizontal="center" vertical="center"/>
    </xf>
    <xf numFmtId="0" fontId="29" fillId="0" borderId="17" xfId="0" applyFont="1" applyFill="1" applyBorder="1" applyAlignment="1">
      <alignment vertical="center" wrapText="1"/>
    </xf>
    <xf numFmtId="4" fontId="47" fillId="4" borderId="17" xfId="1" applyNumberFormat="1" applyFont="1" applyFill="1" applyBorder="1" applyAlignment="1"/>
    <xf numFmtId="0" fontId="47" fillId="4" borderId="17" xfId="0" applyFont="1" applyFill="1" applyBorder="1" applyAlignment="1">
      <alignment vertical="center" wrapText="1"/>
    </xf>
    <xf numFmtId="4" fontId="31" fillId="0" borderId="17" xfId="0" applyNumberFormat="1" applyFont="1" applyFill="1" applyBorder="1" applyAlignment="1"/>
    <xf numFmtId="0" fontId="11" fillId="4" borderId="17" xfId="18" applyFont="1" applyFill="1" applyBorder="1"/>
    <xf numFmtId="0" fontId="12" fillId="4" borderId="17" xfId="18" applyFont="1" applyFill="1" applyBorder="1" applyAlignment="1">
      <alignment horizontal="left" vertical="top" wrapText="1"/>
    </xf>
    <xf numFmtId="3" fontId="12" fillId="4" borderId="17" xfId="18" applyNumberFormat="1" applyFont="1" applyFill="1" applyBorder="1" applyAlignment="1">
      <alignment vertical="top" wrapText="1"/>
    </xf>
    <xf numFmtId="0" fontId="19" fillId="4" borderId="17" xfId="18" applyFont="1" applyFill="1" applyBorder="1" applyAlignment="1">
      <alignment vertical="top" wrapText="1"/>
    </xf>
    <xf numFmtId="0" fontId="11" fillId="4" borderId="17" xfId="18" applyFont="1" applyFill="1" applyBorder="1" applyAlignment="1">
      <alignment vertical="top" wrapText="1"/>
    </xf>
    <xf numFmtId="0" fontId="12" fillId="4" borderId="17" xfId="18" applyFont="1" applyFill="1" applyBorder="1" applyAlignment="1">
      <alignment vertical="top"/>
    </xf>
    <xf numFmtId="165" fontId="12" fillId="4" borderId="17" xfId="18" applyNumberFormat="1" applyFont="1" applyFill="1" applyBorder="1" applyAlignment="1">
      <alignment vertical="top"/>
    </xf>
    <xf numFmtId="0" fontId="10" fillId="4" borderId="17" xfId="18" applyFont="1" applyFill="1" applyBorder="1"/>
    <xf numFmtId="165" fontId="10" fillId="4" borderId="17" xfId="27" applyNumberFormat="1" applyFont="1" applyFill="1" applyBorder="1"/>
    <xf numFmtId="0" fontId="9" fillId="4" borderId="17" xfId="18" applyFont="1" applyFill="1" applyBorder="1"/>
    <xf numFmtId="166" fontId="10" fillId="4" borderId="17" xfId="4" applyNumberFormat="1" applyFont="1" applyFill="1" applyBorder="1"/>
    <xf numFmtId="0" fontId="9" fillId="4" borderId="17" xfId="18" applyFont="1" applyFill="1" applyBorder="1" applyAlignment="1">
      <alignment horizontal="center"/>
    </xf>
    <xf numFmtId="166" fontId="9" fillId="4" borderId="17" xfId="4" applyNumberFormat="1" applyFont="1" applyFill="1" applyBorder="1"/>
    <xf numFmtId="40" fontId="9" fillId="4" borderId="17" xfId="18" applyNumberFormat="1" applyFont="1" applyFill="1" applyBorder="1" applyAlignment="1">
      <alignment horizontal="left" wrapText="1"/>
    </xf>
    <xf numFmtId="165" fontId="9" fillId="4" borderId="17" xfId="27" applyNumberFormat="1" applyFont="1" applyFill="1" applyBorder="1"/>
    <xf numFmtId="0" fontId="9" fillId="4" borderId="17" xfId="18" applyFont="1" applyFill="1" applyBorder="1" applyAlignment="1">
      <alignment horizontal="left" vertical="top" wrapText="1"/>
    </xf>
    <xf numFmtId="0" fontId="9" fillId="4" borderId="17" xfId="18" applyFont="1" applyFill="1" applyBorder="1" applyAlignment="1">
      <alignment wrapText="1"/>
    </xf>
    <xf numFmtId="165" fontId="10" fillId="4" borderId="17" xfId="18" applyNumberFormat="1" applyFont="1" applyFill="1" applyBorder="1"/>
    <xf numFmtId="0" fontId="9" fillId="4" borderId="17" xfId="18" applyFont="1" applyFill="1" applyBorder="1" applyAlignment="1">
      <alignment horizontal="left" wrapText="1"/>
    </xf>
    <xf numFmtId="0" fontId="9" fillId="4" borderId="17" xfId="18" applyFont="1" applyFill="1" applyBorder="1" applyAlignment="1">
      <alignment horizontal="center" vertical="top"/>
    </xf>
    <xf numFmtId="0" fontId="9" fillId="4" borderId="17" xfId="18" applyFont="1" applyFill="1" applyBorder="1" applyAlignment="1">
      <alignment vertical="top"/>
    </xf>
    <xf numFmtId="165" fontId="9" fillId="4" borderId="17" xfId="27" applyNumberFormat="1" applyFont="1" applyFill="1" applyBorder="1" applyAlignment="1">
      <alignment vertical="top"/>
    </xf>
    <xf numFmtId="165" fontId="9" fillId="4" borderId="17" xfId="27" applyNumberFormat="1" applyFont="1" applyFill="1" applyBorder="1" applyAlignment="1"/>
    <xf numFmtId="43" fontId="9" fillId="4" borderId="17" xfId="27" applyFont="1" applyFill="1" applyBorder="1" applyAlignment="1">
      <alignment wrapText="1"/>
    </xf>
    <xf numFmtId="40" fontId="10" fillId="4" borderId="17" xfId="18" applyNumberFormat="1" applyFont="1" applyFill="1" applyBorder="1" applyAlignment="1">
      <alignment horizontal="left"/>
    </xf>
    <xf numFmtId="0" fontId="11" fillId="4" borderId="17" xfId="18" applyFont="1" applyFill="1" applyBorder="1" applyAlignment="1">
      <alignment wrapText="1"/>
    </xf>
    <xf numFmtId="0" fontId="11" fillId="4" borderId="17" xfId="18" applyFont="1" applyFill="1" applyBorder="1" applyAlignment="1">
      <alignment horizontal="center" vertical="top" wrapText="1"/>
    </xf>
    <xf numFmtId="0" fontId="12" fillId="4" borderId="17" xfId="18" applyFont="1" applyFill="1" applyBorder="1" applyAlignment="1">
      <alignment vertical="top" wrapText="1"/>
    </xf>
    <xf numFmtId="0" fontId="12" fillId="4" borderId="17" xfId="18" applyFont="1" applyFill="1" applyBorder="1" applyAlignment="1"/>
    <xf numFmtId="166" fontId="12" fillId="4" borderId="17" xfId="4" applyNumberFormat="1" applyFont="1" applyFill="1" applyBorder="1"/>
    <xf numFmtId="166" fontId="12" fillId="4" borderId="17" xfId="18" applyNumberFormat="1" applyFont="1" applyFill="1" applyBorder="1" applyAlignment="1">
      <alignment vertical="top" wrapText="1"/>
    </xf>
    <xf numFmtId="166" fontId="9" fillId="4" borderId="17" xfId="18" applyNumberFormat="1" applyFont="1" applyFill="1" applyBorder="1"/>
    <xf numFmtId="43" fontId="9" fillId="4" borderId="17" xfId="27" applyFont="1" applyFill="1" applyBorder="1" applyAlignment="1"/>
    <xf numFmtId="165" fontId="9" fillId="4" borderId="17" xfId="18" applyNumberFormat="1" applyFont="1" applyFill="1" applyBorder="1" applyAlignment="1">
      <alignment vertical="top"/>
    </xf>
    <xf numFmtId="3" fontId="12" fillId="4" borderId="17" xfId="18" applyNumberFormat="1" applyFont="1" applyFill="1" applyBorder="1" applyAlignment="1">
      <alignment vertical="top"/>
    </xf>
    <xf numFmtId="0" fontId="9" fillId="4" borderId="17" xfId="18" applyFont="1" applyFill="1" applyBorder="1" applyAlignment="1">
      <alignment vertical="top" wrapText="1"/>
    </xf>
    <xf numFmtId="0" fontId="10" fillId="4" borderId="17" xfId="18" applyFont="1" applyFill="1" applyBorder="1" applyAlignment="1">
      <alignment vertical="top" wrapText="1"/>
    </xf>
    <xf numFmtId="3" fontId="10" fillId="4" borderId="17" xfId="18" applyNumberFormat="1" applyFont="1" applyFill="1" applyBorder="1" applyAlignment="1">
      <alignment vertical="top" wrapText="1"/>
    </xf>
    <xf numFmtId="0" fontId="10" fillId="4" borderId="17" xfId="18" applyFont="1" applyFill="1" applyBorder="1" applyAlignment="1">
      <alignment wrapText="1"/>
    </xf>
    <xf numFmtId="3" fontId="9" fillId="4" borderId="17" xfId="18" applyNumberFormat="1" applyFont="1" applyFill="1" applyBorder="1" applyAlignment="1">
      <alignment horizontal="right" vertical="top" wrapText="1"/>
    </xf>
    <xf numFmtId="0" fontId="9" fillId="4" borderId="17" xfId="18" applyFont="1" applyFill="1" applyBorder="1" applyAlignment="1">
      <alignment horizontal="center" vertical="top" wrapText="1"/>
    </xf>
    <xf numFmtId="3" fontId="9" fillId="4" borderId="17" xfId="18" applyNumberFormat="1" applyFont="1" applyFill="1" applyBorder="1" applyAlignment="1">
      <alignment vertical="top" wrapText="1"/>
    </xf>
    <xf numFmtId="0" fontId="9" fillId="4" borderId="17" xfId="18" applyFont="1" applyFill="1" applyBorder="1" applyAlignment="1">
      <alignment horizontal="center" wrapText="1"/>
    </xf>
    <xf numFmtId="3" fontId="9" fillId="4" borderId="17" xfId="18" applyNumberFormat="1" applyFont="1" applyFill="1" applyBorder="1" applyAlignment="1">
      <alignment wrapText="1"/>
    </xf>
    <xf numFmtId="166" fontId="2" fillId="4" borderId="17" xfId="5" applyNumberFormat="1" applyFont="1" applyFill="1" applyBorder="1"/>
    <xf numFmtId="3" fontId="9" fillId="4" borderId="17" xfId="18" applyNumberFormat="1" applyFont="1" applyFill="1" applyBorder="1" applyAlignment="1">
      <alignment horizontal="right" wrapText="1"/>
    </xf>
    <xf numFmtId="3" fontId="10" fillId="4" borderId="17" xfId="18" applyNumberFormat="1" applyFont="1" applyFill="1" applyBorder="1" applyAlignment="1">
      <alignment horizontal="right" wrapText="1"/>
    </xf>
    <xf numFmtId="3" fontId="10" fillId="4" borderId="17" xfId="18" applyNumberFormat="1" applyFont="1" applyFill="1" applyBorder="1" applyAlignment="1">
      <alignment wrapText="1"/>
    </xf>
    <xf numFmtId="166" fontId="9" fillId="4" borderId="17" xfId="4" applyNumberFormat="1" applyFont="1" applyFill="1" applyBorder="1" applyAlignment="1">
      <alignment horizontal="center" vertical="top"/>
    </xf>
    <xf numFmtId="0" fontId="9" fillId="4" borderId="17" xfId="18" applyFont="1" applyFill="1" applyBorder="1" applyAlignment="1">
      <alignment horizontal="right"/>
    </xf>
    <xf numFmtId="3" fontId="12" fillId="4" borderId="17" xfId="18" applyNumberFormat="1" applyFont="1" applyFill="1" applyBorder="1" applyAlignment="1"/>
    <xf numFmtId="166" fontId="12" fillId="4" borderId="17" xfId="18" applyNumberFormat="1" applyFont="1" applyFill="1" applyBorder="1" applyAlignment="1"/>
    <xf numFmtId="0" fontId="10" fillId="4" borderId="17" xfId="30" applyFont="1" applyFill="1" applyBorder="1" applyAlignment="1">
      <alignment horizontal="left"/>
    </xf>
    <xf numFmtId="165" fontId="10" fillId="4" borderId="17" xfId="27" applyNumberFormat="1" applyFont="1" applyFill="1" applyBorder="1" applyAlignment="1"/>
    <xf numFmtId="3" fontId="9" fillId="4" borderId="17" xfId="18" applyNumberFormat="1" applyFont="1" applyFill="1" applyBorder="1" applyAlignment="1"/>
    <xf numFmtId="0" fontId="9" fillId="4" borderId="17" xfId="18" applyFont="1" applyFill="1" applyBorder="1" applyAlignment="1">
      <alignment horizontal="left"/>
    </xf>
    <xf numFmtId="166" fontId="9" fillId="4" borderId="17" xfId="5" applyNumberFormat="1" applyFont="1" applyFill="1" applyBorder="1" applyAlignment="1">
      <alignment horizontal="left"/>
    </xf>
    <xf numFmtId="0" fontId="10" fillId="4" borderId="17" xfId="18" applyFont="1" applyFill="1" applyBorder="1" applyAlignment="1">
      <alignment horizontal="center"/>
    </xf>
    <xf numFmtId="168" fontId="10" fillId="4" borderId="17" xfId="4" applyNumberFormat="1" applyFont="1" applyFill="1" applyBorder="1"/>
    <xf numFmtId="3" fontId="9" fillId="4" borderId="17" xfId="18" applyNumberFormat="1" applyFont="1" applyFill="1" applyBorder="1" applyAlignment="1">
      <alignment horizontal="center"/>
    </xf>
    <xf numFmtId="3" fontId="10" fillId="4" borderId="17" xfId="18" applyNumberFormat="1" applyFont="1" applyFill="1" applyBorder="1" applyAlignment="1">
      <alignment horizontal="left"/>
    </xf>
    <xf numFmtId="3" fontId="10" fillId="4" borderId="17" xfId="18" applyNumberFormat="1" applyFont="1" applyFill="1" applyBorder="1"/>
    <xf numFmtId="3" fontId="9" fillId="4" borderId="17" xfId="18" applyNumberFormat="1" applyFont="1" applyFill="1" applyBorder="1"/>
    <xf numFmtId="168" fontId="12" fillId="4" borderId="17" xfId="18" applyNumberFormat="1" applyFont="1" applyFill="1" applyBorder="1" applyAlignment="1">
      <alignment vertical="top" wrapText="1"/>
    </xf>
    <xf numFmtId="168" fontId="10" fillId="4" borderId="17" xfId="18" applyNumberFormat="1" applyFont="1" applyFill="1" applyBorder="1" applyAlignment="1">
      <alignment vertical="top" wrapText="1"/>
    </xf>
    <xf numFmtId="166" fontId="9" fillId="4" borderId="17" xfId="25" applyNumberFormat="1" applyFont="1" applyFill="1" applyBorder="1" applyAlignment="1">
      <alignment wrapText="1"/>
    </xf>
    <xf numFmtId="3" fontId="9" fillId="4" borderId="17" xfId="18" applyNumberFormat="1" applyFont="1" applyFill="1" applyBorder="1" applyAlignment="1">
      <alignment horizontal="right"/>
    </xf>
    <xf numFmtId="166" fontId="9" fillId="4" borderId="17" xfId="25" applyNumberFormat="1" applyFont="1" applyFill="1" applyBorder="1" applyAlignment="1">
      <alignment vertical="top" wrapText="1"/>
    </xf>
    <xf numFmtId="166" fontId="2" fillId="4" borderId="17" xfId="5" applyNumberFormat="1" applyFont="1" applyFill="1" applyBorder="1" applyAlignment="1">
      <alignment vertical="top"/>
    </xf>
    <xf numFmtId="168" fontId="9" fillId="4" borderId="17" xfId="4" applyNumberFormat="1" applyFont="1" applyFill="1" applyBorder="1"/>
    <xf numFmtId="0" fontId="10" fillId="4" borderId="17" xfId="18" applyFont="1" applyFill="1" applyBorder="1" applyAlignment="1">
      <alignment horizontal="left"/>
    </xf>
    <xf numFmtId="3" fontId="9" fillId="4" borderId="17" xfId="4" applyNumberFormat="1" applyFont="1" applyFill="1" applyBorder="1"/>
    <xf numFmtId="0" fontId="12" fillId="4" borderId="17" xfId="18" applyFont="1" applyFill="1" applyBorder="1" applyAlignment="1">
      <alignment horizontal="left"/>
    </xf>
    <xf numFmtId="0" fontId="9" fillId="4" borderId="17" xfId="18" applyFont="1" applyFill="1" applyBorder="1" applyAlignment="1"/>
    <xf numFmtId="166" fontId="9" fillId="4" borderId="17" xfId="4" applyNumberFormat="1" applyFont="1" applyFill="1" applyBorder="1" applyAlignment="1">
      <alignment vertical="top"/>
    </xf>
    <xf numFmtId="166" fontId="10" fillId="4" borderId="17" xfId="18" applyNumberFormat="1" applyFont="1" applyFill="1" applyBorder="1"/>
    <xf numFmtId="166" fontId="9" fillId="4" borderId="17" xfId="18" applyNumberFormat="1" applyFont="1" applyFill="1" applyBorder="1" applyAlignment="1">
      <alignment vertical="top"/>
    </xf>
    <xf numFmtId="166" fontId="9" fillId="4" borderId="17" xfId="18" applyNumberFormat="1" applyFont="1" applyFill="1" applyBorder="1" applyAlignment="1"/>
    <xf numFmtId="0" fontId="12" fillId="4" borderId="17" xfId="23" applyFont="1" applyFill="1" applyBorder="1" applyAlignment="1">
      <alignment horizontal="left"/>
    </xf>
    <xf numFmtId="165" fontId="12" fillId="4" borderId="17" xfId="27" applyNumberFormat="1" applyFont="1" applyFill="1" applyBorder="1" applyAlignment="1">
      <alignment horizontal="right"/>
    </xf>
    <xf numFmtId="0" fontId="10" fillId="4" borderId="17" xfId="23" applyFont="1" applyFill="1" applyBorder="1" applyAlignment="1">
      <alignment horizontal="left" vertical="center" wrapText="1"/>
    </xf>
    <xf numFmtId="3" fontId="12" fillId="4" borderId="17" xfId="18" applyNumberFormat="1" applyFont="1" applyFill="1" applyBorder="1"/>
    <xf numFmtId="3" fontId="12" fillId="4" borderId="17" xfId="25" applyNumberFormat="1" applyFont="1" applyFill="1" applyBorder="1"/>
    <xf numFmtId="3" fontId="10" fillId="4" borderId="17" xfId="25" applyNumberFormat="1" applyFont="1" applyFill="1" applyBorder="1"/>
    <xf numFmtId="165" fontId="10" fillId="4" borderId="17" xfId="27" applyNumberFormat="1" applyFont="1" applyFill="1" applyBorder="1" applyAlignment="1">
      <alignment horizontal="right"/>
    </xf>
    <xf numFmtId="3" fontId="10" fillId="4" borderId="17" xfId="25" applyNumberFormat="1" applyFont="1" applyFill="1" applyBorder="1" applyAlignment="1">
      <alignment horizontal="right"/>
    </xf>
    <xf numFmtId="0" fontId="10" fillId="4" borderId="17" xfId="23" applyFont="1" applyFill="1" applyBorder="1" applyAlignment="1">
      <alignment horizontal="left"/>
    </xf>
    <xf numFmtId="3" fontId="10" fillId="4" borderId="17" xfId="18" applyNumberFormat="1" applyFont="1" applyFill="1" applyBorder="1" applyAlignment="1">
      <alignment horizontal="center"/>
    </xf>
    <xf numFmtId="3" fontId="9" fillId="4" borderId="17" xfId="25" applyNumberFormat="1" applyFont="1" applyFill="1" applyBorder="1" applyAlignment="1">
      <alignment horizontal="right"/>
    </xf>
    <xf numFmtId="0" fontId="12" fillId="4" borderId="17" xfId="18" applyFont="1" applyFill="1" applyBorder="1"/>
    <xf numFmtId="166" fontId="12" fillId="4" borderId="17" xfId="18" applyNumberFormat="1" applyFont="1" applyFill="1" applyBorder="1" applyAlignment="1">
      <alignment horizontal="center"/>
    </xf>
    <xf numFmtId="166" fontId="10" fillId="4" borderId="17" xfId="3" applyNumberFormat="1" applyFont="1" applyFill="1" applyBorder="1"/>
    <xf numFmtId="0" fontId="9" fillId="4" borderId="17" xfId="22" applyFont="1" applyFill="1" applyBorder="1" applyAlignment="1">
      <alignment horizontal="center"/>
    </xf>
    <xf numFmtId="0" fontId="10" fillId="4" borderId="17" xfId="22" applyFont="1" applyFill="1" applyBorder="1" applyAlignment="1">
      <alignment horizontal="left"/>
    </xf>
    <xf numFmtId="166" fontId="9" fillId="4" borderId="17" xfId="3" applyNumberFormat="1" applyFont="1" applyFill="1" applyBorder="1"/>
    <xf numFmtId="0" fontId="9" fillId="4" borderId="17" xfId="30" applyFont="1" applyFill="1" applyBorder="1" applyAlignment="1">
      <alignment horizontal="center" vertical="top"/>
    </xf>
    <xf numFmtId="0" fontId="9" fillId="4" borderId="17" xfId="30" applyFont="1" applyFill="1" applyBorder="1" applyAlignment="1">
      <alignment horizontal="left" vertical="top"/>
    </xf>
    <xf numFmtId="166" fontId="9" fillId="4" borderId="17" xfId="27" applyNumberFormat="1" applyFont="1" applyFill="1" applyBorder="1" applyAlignment="1">
      <alignment horizontal="center" vertical="top"/>
    </xf>
    <xf numFmtId="166" fontId="10" fillId="4" borderId="17" xfId="25" applyNumberFormat="1" applyFont="1" applyFill="1" applyBorder="1"/>
    <xf numFmtId="0" fontId="29" fillId="4" borderId="17" xfId="22" applyFont="1" applyFill="1" applyBorder="1"/>
    <xf numFmtId="0" fontId="9" fillId="4" borderId="17" xfId="30" applyFont="1" applyFill="1" applyBorder="1"/>
    <xf numFmtId="166" fontId="10" fillId="4" borderId="17" xfId="27" applyNumberFormat="1" applyFont="1" applyFill="1" applyBorder="1" applyAlignment="1">
      <alignment horizontal="center"/>
    </xf>
    <xf numFmtId="0" fontId="10" fillId="4" borderId="17" xfId="24" applyFont="1" applyFill="1" applyBorder="1"/>
    <xf numFmtId="166" fontId="9" fillId="4" borderId="17" xfId="25" applyNumberFormat="1" applyFont="1" applyFill="1" applyBorder="1"/>
    <xf numFmtId="0" fontId="9" fillId="4" borderId="17" xfId="22" applyFont="1" applyFill="1" applyBorder="1" applyAlignment="1">
      <alignment horizontal="left" vertical="center" wrapText="1"/>
    </xf>
    <xf numFmtId="166" fontId="9" fillId="4" borderId="17" xfId="27" applyNumberFormat="1" applyFont="1" applyFill="1" applyBorder="1" applyAlignment="1">
      <alignment horizontal="center"/>
    </xf>
    <xf numFmtId="0" fontId="9" fillId="4" borderId="17" xfId="22" applyFont="1" applyFill="1" applyBorder="1" applyAlignment="1">
      <alignment horizontal="left"/>
    </xf>
    <xf numFmtId="0" fontId="29" fillId="4" borderId="17" xfId="22" applyFont="1" applyFill="1" applyBorder="1" applyAlignment="1">
      <alignment wrapText="1"/>
    </xf>
    <xf numFmtId="0" fontId="9" fillId="4" borderId="17" xfId="30" applyFont="1" applyFill="1" applyBorder="1" applyAlignment="1">
      <alignment horizontal="left"/>
    </xf>
    <xf numFmtId="0" fontId="12" fillId="4" borderId="17" xfId="30" applyFont="1" applyFill="1" applyBorder="1" applyAlignment="1"/>
    <xf numFmtId="3" fontId="12" fillId="4" borderId="17" xfId="5" applyNumberFormat="1" applyFont="1" applyFill="1" applyBorder="1"/>
    <xf numFmtId="3" fontId="10" fillId="4" borderId="17" xfId="5" applyNumberFormat="1" applyFont="1" applyFill="1" applyBorder="1"/>
    <xf numFmtId="3" fontId="10" fillId="4" borderId="17" xfId="5" applyNumberFormat="1" applyFont="1" applyFill="1" applyBorder="1" applyAlignment="1">
      <alignment horizontal="right"/>
    </xf>
    <xf numFmtId="3" fontId="9" fillId="4" borderId="17" xfId="5" applyNumberFormat="1" applyFont="1" applyFill="1" applyBorder="1" applyAlignment="1">
      <alignment horizontal="right"/>
    </xf>
    <xf numFmtId="0" fontId="9" fillId="4" borderId="17" xfId="24" applyFont="1" applyFill="1" applyBorder="1" applyAlignment="1">
      <alignment horizontal="left" wrapText="1"/>
    </xf>
    <xf numFmtId="0" fontId="9" fillId="4" borderId="17" xfId="30" applyFont="1" applyFill="1" applyBorder="1" applyAlignment="1">
      <alignment horizontal="center"/>
    </xf>
    <xf numFmtId="3" fontId="9" fillId="4" borderId="17" xfId="5" applyNumberFormat="1" applyFont="1" applyFill="1" applyBorder="1" applyAlignment="1">
      <alignment horizontal="right" vertical="top"/>
    </xf>
    <xf numFmtId="0" fontId="9" fillId="4" borderId="17" xfId="24" applyFont="1" applyFill="1" applyBorder="1"/>
    <xf numFmtId="3" fontId="9" fillId="4" borderId="17" xfId="5" applyNumberFormat="1" applyFont="1" applyFill="1" applyBorder="1" applyAlignment="1">
      <alignment vertical="top"/>
    </xf>
    <xf numFmtId="3" fontId="9" fillId="4" borderId="17" xfId="5" applyNumberFormat="1" applyFont="1" applyFill="1" applyBorder="1" applyAlignment="1"/>
    <xf numFmtId="0" fontId="9" fillId="4" borderId="17" xfId="24" applyFont="1" applyFill="1" applyBorder="1" applyAlignment="1">
      <alignment horizontal="left"/>
    </xf>
    <xf numFmtId="3" fontId="10" fillId="4" borderId="17" xfId="5" applyNumberFormat="1" applyFont="1" applyFill="1" applyBorder="1" applyAlignment="1"/>
    <xf numFmtId="0" fontId="9" fillId="4" borderId="17" xfId="24" applyFont="1" applyFill="1" applyBorder="1" applyAlignment="1">
      <alignment vertical="top"/>
    </xf>
    <xf numFmtId="3" fontId="9" fillId="4" borderId="17" xfId="24" applyNumberFormat="1" applyFont="1" applyFill="1" applyBorder="1" applyAlignment="1">
      <alignment vertical="top"/>
    </xf>
    <xf numFmtId="3" fontId="9" fillId="4" borderId="17" xfId="24" applyNumberFormat="1" applyFont="1" applyFill="1" applyBorder="1"/>
    <xf numFmtId="0" fontId="9" fillId="4" borderId="17" xfId="24" applyFont="1" applyFill="1" applyBorder="1" applyAlignment="1">
      <alignment wrapText="1"/>
    </xf>
    <xf numFmtId="3" fontId="12" fillId="4" borderId="17" xfId="5" applyNumberFormat="1" applyFont="1" applyFill="1" applyBorder="1" applyAlignment="1">
      <alignment horizontal="right"/>
    </xf>
    <xf numFmtId="0" fontId="10" fillId="4" borderId="17" xfId="30" applyFont="1" applyFill="1" applyBorder="1" applyAlignment="1"/>
    <xf numFmtId="168" fontId="12" fillId="4" borderId="17" xfId="27" applyNumberFormat="1" applyFont="1" applyFill="1" applyBorder="1"/>
    <xf numFmtId="0" fontId="2" fillId="4" borderId="17" xfId="30" applyFont="1" applyFill="1" applyBorder="1"/>
    <xf numFmtId="3" fontId="10" fillId="4" borderId="17" xfId="30" applyNumberFormat="1" applyFont="1" applyFill="1" applyBorder="1" applyAlignment="1"/>
    <xf numFmtId="0" fontId="30" fillId="4" borderId="17" xfId="30" applyFont="1" applyFill="1" applyBorder="1" applyAlignment="1">
      <alignment horizontal="center"/>
    </xf>
    <xf numFmtId="168" fontId="4" fillId="4" borderId="17" xfId="27" applyNumberFormat="1" applyFont="1" applyFill="1" applyBorder="1"/>
    <xf numFmtId="168" fontId="10" fillId="4" borderId="17" xfId="27" applyNumberFormat="1" applyFont="1" applyFill="1" applyBorder="1" applyAlignment="1">
      <alignment horizontal="right"/>
    </xf>
    <xf numFmtId="0" fontId="26" fillId="4" borderId="17" xfId="30" applyFont="1" applyFill="1" applyBorder="1"/>
    <xf numFmtId="0" fontId="10" fillId="4" borderId="17" xfId="30" applyFont="1" applyFill="1" applyBorder="1" applyAlignment="1">
      <alignment horizontal="center"/>
    </xf>
    <xf numFmtId="168" fontId="10" fillId="4" borderId="17" xfId="27" applyNumberFormat="1" applyFont="1" applyFill="1" applyBorder="1"/>
    <xf numFmtId="3" fontId="9" fillId="4" borderId="17" xfId="30" applyNumberFormat="1" applyFont="1" applyFill="1" applyBorder="1" applyAlignment="1"/>
    <xf numFmtId="168" fontId="9" fillId="4" borderId="17" xfId="27" applyNumberFormat="1" applyFont="1" applyFill="1" applyBorder="1"/>
    <xf numFmtId="3" fontId="9" fillId="4" borderId="17" xfId="30" applyNumberFormat="1" applyFont="1" applyFill="1" applyBorder="1" applyAlignment="1">
      <alignment vertical="top"/>
    </xf>
    <xf numFmtId="165" fontId="11" fillId="4" borderId="17" xfId="18" applyNumberFormat="1" applyFont="1" applyFill="1" applyBorder="1" applyAlignment="1">
      <alignment wrapText="1"/>
    </xf>
    <xf numFmtId="165" fontId="9" fillId="4" borderId="17" xfId="18" applyNumberFormat="1" applyFont="1" applyFill="1" applyBorder="1" applyAlignment="1">
      <alignment wrapText="1"/>
    </xf>
    <xf numFmtId="0" fontId="28" fillId="4" borderId="17" xfId="18" applyFont="1" applyFill="1" applyBorder="1" applyAlignment="1">
      <alignment horizontal="left"/>
    </xf>
    <xf numFmtId="165" fontId="9" fillId="4" borderId="17" xfId="21" applyNumberFormat="1" applyFont="1" applyFill="1" applyBorder="1"/>
    <xf numFmtId="165" fontId="9" fillId="4" borderId="17" xfId="21" applyNumberFormat="1" applyFont="1" applyFill="1" applyBorder="1" applyAlignment="1">
      <alignment vertical="top"/>
    </xf>
    <xf numFmtId="0" fontId="9" fillId="4" borderId="17" xfId="18" applyFont="1" applyFill="1" applyBorder="1" applyAlignment="1">
      <alignment horizontal="left" vertical="top"/>
    </xf>
    <xf numFmtId="166" fontId="9" fillId="4" borderId="17" xfId="5" applyNumberFormat="1" applyFont="1" applyFill="1" applyBorder="1" applyAlignment="1">
      <alignment vertical="top"/>
    </xf>
    <xf numFmtId="166" fontId="9" fillId="4" borderId="17" xfId="5" applyNumberFormat="1" applyFont="1" applyFill="1" applyBorder="1"/>
    <xf numFmtId="43" fontId="9" fillId="4" borderId="17" xfId="5" applyFont="1" applyFill="1" applyBorder="1"/>
    <xf numFmtId="0" fontId="10" fillId="4" borderId="17" xfId="18" applyFont="1" applyFill="1" applyBorder="1" applyAlignment="1">
      <alignment horizontal="left" wrapText="1"/>
    </xf>
    <xf numFmtId="3" fontId="10" fillId="4" borderId="17" xfId="5" applyNumberFormat="1" applyFont="1" applyFill="1" applyBorder="1" applyAlignment="1">
      <alignment vertical="center"/>
    </xf>
    <xf numFmtId="0" fontId="10" fillId="4" borderId="17" xfId="18" applyFont="1" applyFill="1" applyBorder="1" applyAlignment="1">
      <alignment horizontal="center" vertical="center"/>
    </xf>
    <xf numFmtId="166" fontId="10" fillId="4" borderId="17" xfId="5" applyNumberFormat="1" applyFont="1" applyFill="1" applyBorder="1" applyAlignment="1">
      <alignment vertical="center"/>
    </xf>
    <xf numFmtId="0" fontId="10" fillId="4" borderId="17" xfId="18" applyFont="1" applyFill="1" applyBorder="1" applyAlignment="1">
      <alignment horizontal="justify" vertical="center" wrapText="1"/>
    </xf>
    <xf numFmtId="166" fontId="10" fillId="4" borderId="17" xfId="5" applyNumberFormat="1" applyFont="1" applyFill="1" applyBorder="1"/>
    <xf numFmtId="49" fontId="9" fillId="4" borderId="17" xfId="18" applyNumberFormat="1" applyFont="1" applyFill="1" applyBorder="1" applyAlignment="1">
      <alignment wrapText="1"/>
    </xf>
    <xf numFmtId="49" fontId="9" fillId="4" borderId="17" xfId="18" applyNumberFormat="1" applyFont="1" applyFill="1" applyBorder="1" applyAlignment="1">
      <alignment vertical="top" wrapText="1"/>
    </xf>
    <xf numFmtId="49" fontId="9" fillId="4" borderId="17" xfId="18" applyNumberFormat="1" applyFont="1" applyFill="1" applyBorder="1" applyAlignment="1">
      <alignment horizontal="center" wrapText="1"/>
    </xf>
    <xf numFmtId="165" fontId="9" fillId="4" borderId="17" xfId="18" applyNumberFormat="1" applyFont="1" applyFill="1" applyBorder="1"/>
    <xf numFmtId="166" fontId="9" fillId="4" borderId="17" xfId="26" applyNumberFormat="1" applyFont="1" applyFill="1" applyBorder="1" applyAlignment="1">
      <alignment vertical="top"/>
    </xf>
    <xf numFmtId="166" fontId="12" fillId="4" borderId="17" xfId="3" applyNumberFormat="1" applyFont="1" applyFill="1" applyBorder="1"/>
    <xf numFmtId="0" fontId="2" fillId="4" borderId="17" xfId="18" applyFont="1" applyFill="1" applyBorder="1"/>
    <xf numFmtId="0" fontId="10" fillId="4" borderId="17" xfId="18" applyFont="1" applyFill="1" applyBorder="1" applyAlignment="1">
      <alignment horizontal="left" vertical="center" wrapText="1"/>
    </xf>
    <xf numFmtId="0" fontId="9" fillId="4" borderId="17" xfId="23" applyFont="1" applyFill="1" applyBorder="1" applyAlignment="1">
      <alignment horizontal="center"/>
    </xf>
    <xf numFmtId="0" fontId="9" fillId="4" borderId="17" xfId="23" applyFont="1" applyFill="1" applyBorder="1"/>
    <xf numFmtId="0" fontId="11" fillId="4" borderId="17" xfId="18" applyFont="1" applyFill="1" applyBorder="1" applyAlignment="1">
      <alignment horizontal="left"/>
    </xf>
    <xf numFmtId="165" fontId="11" fillId="4" borderId="17" xfId="21" applyNumberFormat="1" applyFont="1" applyFill="1" applyBorder="1"/>
    <xf numFmtId="165" fontId="12" fillId="4" borderId="17" xfId="18" applyNumberFormat="1" applyFont="1" applyFill="1" applyBorder="1" applyAlignment="1">
      <alignment vertical="top" wrapText="1"/>
    </xf>
    <xf numFmtId="40" fontId="9" fillId="4" borderId="17" xfId="18" applyNumberFormat="1" applyFont="1" applyFill="1" applyBorder="1"/>
    <xf numFmtId="40" fontId="9" fillId="4" borderId="17" xfId="18" applyNumberFormat="1" applyFont="1" applyFill="1" applyBorder="1" applyAlignment="1">
      <alignment horizontal="left"/>
    </xf>
    <xf numFmtId="40" fontId="12" fillId="4" borderId="17" xfId="18" applyNumberFormat="1" applyFont="1" applyFill="1" applyBorder="1" applyAlignment="1">
      <alignment horizontal="left"/>
    </xf>
    <xf numFmtId="4" fontId="9" fillId="4" borderId="17" xfId="30" applyNumberFormat="1" applyFont="1" applyFill="1" applyBorder="1"/>
    <xf numFmtId="165" fontId="9" fillId="4" borderId="17" xfId="30" applyNumberFormat="1" applyFont="1" applyFill="1" applyBorder="1"/>
    <xf numFmtId="166" fontId="9" fillId="4" borderId="17" xfId="27" applyNumberFormat="1" applyFont="1" applyFill="1" applyBorder="1" applyAlignment="1"/>
    <xf numFmtId="166" fontId="9" fillId="4" borderId="17" xfId="27" applyNumberFormat="1" applyFont="1" applyFill="1" applyBorder="1" applyAlignment="1">
      <alignment horizontal="right"/>
    </xf>
    <xf numFmtId="0" fontId="10" fillId="4" borderId="17" xfId="30" applyFont="1" applyFill="1" applyBorder="1" applyAlignment="1">
      <alignment horizontal="left" indent="3"/>
    </xf>
    <xf numFmtId="0" fontId="3" fillId="4" borderId="17" xfId="18" applyFont="1" applyFill="1" applyBorder="1"/>
    <xf numFmtId="166" fontId="10" fillId="4" borderId="17" xfId="27" applyNumberFormat="1" applyFont="1" applyFill="1" applyBorder="1" applyAlignment="1">
      <alignment horizontal="right"/>
    </xf>
    <xf numFmtId="166" fontId="9" fillId="4" borderId="17" xfId="27" applyNumberFormat="1" applyFont="1" applyFill="1" applyBorder="1" applyAlignment="1">
      <alignment vertical="top"/>
    </xf>
    <xf numFmtId="3" fontId="9" fillId="4" borderId="17" xfId="18" applyNumberFormat="1" applyFont="1" applyFill="1" applyBorder="1" applyAlignment="1">
      <alignment vertical="top"/>
    </xf>
    <xf numFmtId="4" fontId="11" fillId="4" borderId="17" xfId="18" applyNumberFormat="1" applyFont="1" applyFill="1" applyBorder="1"/>
    <xf numFmtId="4" fontId="12" fillId="4" borderId="17" xfId="5" applyNumberFormat="1" applyFont="1" applyFill="1" applyBorder="1"/>
    <xf numFmtId="4" fontId="12" fillId="4" borderId="17" xfId="18" applyNumberFormat="1" applyFont="1" applyFill="1" applyBorder="1"/>
    <xf numFmtId="0" fontId="10" fillId="4" borderId="17" xfId="30" applyFont="1" applyFill="1" applyBorder="1" applyAlignment="1">
      <alignment wrapText="1"/>
    </xf>
    <xf numFmtId="0" fontId="10" fillId="4" borderId="17" xfId="18" applyFont="1" applyFill="1" applyBorder="1" applyAlignment="1">
      <alignment horizontal="left" vertical="top" wrapText="1"/>
    </xf>
    <xf numFmtId="166" fontId="10" fillId="4" borderId="17" xfId="5" applyNumberFormat="1" applyFont="1" applyFill="1" applyBorder="1" applyAlignment="1">
      <alignment vertical="top"/>
    </xf>
    <xf numFmtId="0" fontId="9" fillId="4" borderId="17" xfId="18" applyFont="1" applyFill="1" applyBorder="1" applyAlignment="1">
      <alignment horizontal="center" vertical="center"/>
    </xf>
    <xf numFmtId="3" fontId="9" fillId="4" borderId="17" xfId="18" applyNumberFormat="1" applyFont="1" applyFill="1" applyBorder="1" applyAlignment="1">
      <alignment vertical="center"/>
    </xf>
    <xf numFmtId="0" fontId="11" fillId="4" borderId="17" xfId="18" applyFont="1" applyFill="1" applyBorder="1" applyAlignment="1">
      <alignment horizontal="left" vertical="top"/>
    </xf>
    <xf numFmtId="3" fontId="11" fillId="4" borderId="17" xfId="5" applyNumberFormat="1" applyFont="1" applyFill="1" applyBorder="1"/>
    <xf numFmtId="43" fontId="15" fillId="4" borderId="17" xfId="18" applyNumberFormat="1" applyFont="1" applyFill="1" applyBorder="1"/>
    <xf numFmtId="43" fontId="27" fillId="4" borderId="17" xfId="18" applyNumberFormat="1" applyFont="1" applyFill="1" applyBorder="1"/>
    <xf numFmtId="0" fontId="15" fillId="4" borderId="17" xfId="18" applyFont="1" applyFill="1" applyBorder="1" applyAlignment="1">
      <alignment horizontal="center"/>
    </xf>
    <xf numFmtId="0" fontId="15" fillId="4" borderId="17" xfId="18" applyFont="1" applyFill="1" applyBorder="1"/>
    <xf numFmtId="43" fontId="2" fillId="4" borderId="17" xfId="5" applyFont="1" applyFill="1" applyBorder="1"/>
    <xf numFmtId="43" fontId="27" fillId="4" borderId="17" xfId="18" applyNumberFormat="1" applyFont="1" applyFill="1" applyBorder="1" applyAlignment="1">
      <alignment horizontal="center"/>
    </xf>
    <xf numFmtId="43" fontId="15" fillId="4" borderId="17" xfId="18" applyNumberFormat="1" applyFont="1" applyFill="1" applyBorder="1" applyAlignment="1">
      <alignment horizontal="center"/>
    </xf>
    <xf numFmtId="166" fontId="15" fillId="4" borderId="17" xfId="18" applyNumberFormat="1" applyFont="1" applyFill="1" applyBorder="1" applyAlignment="1">
      <alignment horizontal="center"/>
    </xf>
    <xf numFmtId="0" fontId="8" fillId="4" borderId="5" xfId="18" applyFont="1" applyFill="1" applyBorder="1"/>
    <xf numFmtId="0" fontId="8" fillId="4" borderId="0" xfId="18" applyFont="1" applyFill="1" applyBorder="1"/>
    <xf numFmtId="43" fontId="8" fillId="4" borderId="0" xfId="5" applyFont="1" applyFill="1" applyBorder="1"/>
    <xf numFmtId="0" fontId="8" fillId="4" borderId="6" xfId="18" applyFont="1" applyFill="1" applyBorder="1"/>
    <xf numFmtId="0" fontId="11" fillId="4" borderId="12" xfId="18" applyFont="1" applyFill="1" applyBorder="1"/>
    <xf numFmtId="43" fontId="11" fillId="4" borderId="37" xfId="5" applyFont="1" applyFill="1" applyBorder="1"/>
    <xf numFmtId="0" fontId="12" fillId="4" borderId="37" xfId="18" applyFont="1" applyFill="1" applyBorder="1" applyAlignment="1">
      <alignment horizontal="center"/>
    </xf>
    <xf numFmtId="0" fontId="11" fillId="4" borderId="37" xfId="18" applyFont="1" applyFill="1" applyBorder="1"/>
    <xf numFmtId="0" fontId="11" fillId="4" borderId="38" xfId="18" applyFont="1" applyFill="1" applyBorder="1"/>
    <xf numFmtId="0" fontId="10" fillId="4" borderId="10" xfId="18" applyFont="1" applyFill="1" applyBorder="1" applyAlignment="1">
      <alignment horizontal="center" vertical="center" wrapText="1"/>
    </xf>
    <xf numFmtId="0" fontId="12" fillId="4" borderId="39" xfId="18" applyFont="1" applyFill="1" applyBorder="1" applyAlignment="1">
      <alignment horizontal="center" vertical="center" wrapText="1"/>
    </xf>
    <xf numFmtId="43" fontId="10" fillId="4" borderId="39" xfId="5" applyFont="1" applyFill="1" applyBorder="1" applyAlignment="1">
      <alignment horizontal="center" vertical="center" wrapText="1"/>
    </xf>
    <xf numFmtId="0" fontId="10" fillId="4" borderId="39" xfId="18" applyFont="1" applyFill="1" applyBorder="1" applyAlignment="1">
      <alignment horizontal="center" vertical="center" wrapText="1"/>
    </xf>
    <xf numFmtId="43" fontId="10" fillId="4" borderId="40" xfId="5" applyFont="1" applyFill="1" applyBorder="1" applyAlignment="1">
      <alignment horizontal="center" vertical="center" wrapText="1"/>
    </xf>
    <xf numFmtId="0" fontId="9" fillId="4" borderId="0" xfId="0" applyFont="1" applyFill="1"/>
    <xf numFmtId="165" fontId="9" fillId="4" borderId="0" xfId="0" applyNumberFormat="1" applyFont="1" applyFill="1"/>
    <xf numFmtId="0" fontId="9" fillId="0" borderId="0" xfId="0" applyFont="1" applyFill="1"/>
    <xf numFmtId="0" fontId="19" fillId="0" borderId="0" xfId="0" applyFont="1" applyFill="1"/>
    <xf numFmtId="166" fontId="9" fillId="0" borderId="17" xfId="4" applyNumberFormat="1" applyFont="1" applyFill="1" applyBorder="1"/>
    <xf numFmtId="0" fontId="9" fillId="4" borderId="17" xfId="18" applyFont="1" applyFill="1" applyBorder="1" applyAlignment="1">
      <alignment horizontal="right" vertical="top"/>
    </xf>
    <xf numFmtId="0" fontId="28" fillId="4" borderId="17" xfId="18" applyFont="1" applyFill="1" applyBorder="1" applyAlignment="1">
      <alignment horizontal="center"/>
    </xf>
    <xf numFmtId="0" fontId="11" fillId="4" borderId="17" xfId="18" applyFont="1" applyFill="1" applyBorder="1" applyAlignment="1">
      <alignment horizontal="center" vertical="top"/>
    </xf>
    <xf numFmtId="0" fontId="11" fillId="4" borderId="17" xfId="18" applyFont="1" applyFill="1" applyBorder="1" applyAlignment="1">
      <alignment horizontal="center"/>
    </xf>
    <xf numFmtId="3" fontId="11" fillId="4" borderId="17" xfId="18" applyNumberFormat="1" applyFont="1" applyFill="1" applyBorder="1" applyAlignment="1">
      <alignment horizontal="center"/>
    </xf>
    <xf numFmtId="0" fontId="9" fillId="4" borderId="17" xfId="18" applyNumberFormat="1" applyFont="1" applyFill="1" applyBorder="1" applyAlignment="1">
      <alignment horizontal="center" vertical="top"/>
    </xf>
    <xf numFmtId="0" fontId="9" fillId="4" borderId="17" xfId="24" applyFont="1" applyFill="1" applyBorder="1" applyAlignment="1">
      <alignment horizontal="center"/>
    </xf>
    <xf numFmtId="0" fontId="9" fillId="4" borderId="17" xfId="24" applyFont="1" applyFill="1" applyBorder="1" applyAlignment="1">
      <alignment horizontal="center" vertical="top"/>
    </xf>
    <xf numFmtId="0" fontId="28" fillId="4" borderId="17" xfId="30" applyFont="1" applyFill="1" applyBorder="1" applyAlignment="1">
      <alignment horizontal="center"/>
    </xf>
    <xf numFmtId="0" fontId="9" fillId="4" borderId="17" xfId="31" applyFont="1" applyFill="1" applyBorder="1" applyAlignment="1">
      <alignment horizontal="center" vertical="center"/>
    </xf>
    <xf numFmtId="49" fontId="19" fillId="4" borderId="17" xfId="30" applyNumberFormat="1" applyFont="1" applyFill="1" applyBorder="1" applyAlignment="1">
      <alignment vertical="top" wrapText="1"/>
    </xf>
    <xf numFmtId="49" fontId="9" fillId="4" borderId="17" xfId="30" applyNumberFormat="1" applyFont="1" applyFill="1" applyBorder="1" applyAlignment="1">
      <alignment wrapText="1"/>
    </xf>
    <xf numFmtId="3" fontId="9" fillId="4" borderId="17" xfId="18" applyNumberFormat="1" applyFont="1" applyFill="1" applyBorder="1" applyAlignment="1">
      <alignment horizontal="left"/>
    </xf>
    <xf numFmtId="166" fontId="15" fillId="4" borderId="17" xfId="18" applyNumberFormat="1" applyFont="1" applyFill="1" applyBorder="1"/>
    <xf numFmtId="166" fontId="27" fillId="4" borderId="17" xfId="18" applyNumberFormat="1" applyFont="1" applyFill="1" applyBorder="1" applyAlignment="1">
      <alignment horizontal="center"/>
    </xf>
    <xf numFmtId="0" fontId="19" fillId="0" borderId="17" xfId="0" applyFont="1" applyFill="1" applyBorder="1"/>
    <xf numFmtId="0" fontId="31" fillId="4" borderId="6" xfId="2" applyFont="1" applyFill="1" applyBorder="1" applyAlignment="1">
      <alignment horizontal="center" vertical="top"/>
    </xf>
    <xf numFmtId="0" fontId="25" fillId="4" borderId="7" xfId="0" applyFont="1" applyFill="1" applyBorder="1"/>
    <xf numFmtId="0" fontId="19" fillId="0" borderId="1" xfId="0" applyFont="1" applyFill="1" applyBorder="1"/>
    <xf numFmtId="165" fontId="2" fillId="4" borderId="1" xfId="0" applyNumberFormat="1" applyFont="1" applyFill="1" applyBorder="1"/>
    <xf numFmtId="0" fontId="19" fillId="4" borderId="8" xfId="0" applyFont="1" applyFill="1" applyBorder="1" applyAlignment="1">
      <alignment vertical="top"/>
    </xf>
    <xf numFmtId="0" fontId="9" fillId="4" borderId="41" xfId="0" applyFont="1" applyFill="1" applyBorder="1"/>
    <xf numFmtId="0" fontId="10" fillId="4" borderId="17" xfId="0" applyFont="1" applyFill="1" applyBorder="1" applyAlignment="1">
      <alignment horizontal="center"/>
    </xf>
    <xf numFmtId="165" fontId="10" fillId="4" borderId="17" xfId="4" applyNumberFormat="1" applyFont="1" applyFill="1" applyBorder="1" applyAlignment="1">
      <alignment horizontal="center"/>
    </xf>
    <xf numFmtId="0" fontId="10" fillId="4" borderId="42" xfId="0" applyFont="1" applyFill="1" applyBorder="1" applyAlignment="1">
      <alignment horizontal="center"/>
    </xf>
    <xf numFmtId="0" fontId="10" fillId="4" borderId="41" xfId="6" applyFont="1" applyFill="1" applyBorder="1"/>
    <xf numFmtId="0" fontId="10" fillId="4" borderId="17" xfId="6" applyFont="1" applyFill="1" applyBorder="1" applyAlignment="1">
      <alignment horizontal="center"/>
    </xf>
    <xf numFmtId="166" fontId="10" fillId="4" borderId="17" xfId="20" applyNumberFormat="1" applyFont="1" applyFill="1" applyBorder="1" applyAlignment="1">
      <alignment horizontal="center"/>
    </xf>
    <xf numFmtId="0" fontId="12" fillId="4" borderId="42" xfId="0" applyFont="1" applyFill="1" applyBorder="1" applyAlignment="1">
      <alignment horizontal="center"/>
    </xf>
    <xf numFmtId="0" fontId="9" fillId="4" borderId="41" xfId="6" applyFont="1" applyFill="1" applyBorder="1" applyAlignment="1"/>
    <xf numFmtId="0" fontId="10" fillId="4" borderId="17" xfId="6" applyFont="1" applyFill="1" applyBorder="1" applyAlignment="1">
      <alignment horizontal="left"/>
    </xf>
    <xf numFmtId="0" fontId="9" fillId="4" borderId="17" xfId="6" applyFont="1" applyFill="1" applyBorder="1" applyAlignment="1">
      <alignment horizontal="left"/>
    </xf>
    <xf numFmtId="166" fontId="9" fillId="4" borderId="17" xfId="20" applyNumberFormat="1" applyFont="1" applyFill="1" applyBorder="1" applyAlignment="1">
      <alignment horizontal="center"/>
    </xf>
    <xf numFmtId="49" fontId="19" fillId="4" borderId="42" xfId="6" applyNumberFormat="1" applyFont="1" applyFill="1" applyBorder="1" applyAlignment="1">
      <alignment vertical="top"/>
    </xf>
    <xf numFmtId="0" fontId="9" fillId="4" borderId="41" xfId="6" applyNumberFormat="1" applyFont="1" applyFill="1" applyBorder="1" applyAlignment="1">
      <alignment vertical="top"/>
    </xf>
    <xf numFmtId="166" fontId="9" fillId="4" borderId="17" xfId="20" applyNumberFormat="1" applyFont="1" applyFill="1" applyBorder="1" applyAlignment="1">
      <alignment horizontal="center" vertical="top"/>
    </xf>
    <xf numFmtId="0" fontId="9" fillId="4" borderId="41" xfId="6" applyNumberFormat="1" applyFont="1" applyFill="1" applyBorder="1" applyAlignment="1"/>
    <xf numFmtId="0" fontId="18" fillId="4" borderId="42" xfId="0" applyFont="1" applyFill="1" applyBorder="1" applyAlignment="1">
      <alignment horizontal="center" vertical="top"/>
    </xf>
    <xf numFmtId="0" fontId="11" fillId="4" borderId="41" xfId="0" applyFont="1" applyFill="1" applyBorder="1"/>
    <xf numFmtId="0" fontId="12" fillId="4" borderId="17" xfId="0" applyFont="1" applyFill="1" applyBorder="1" applyAlignment="1">
      <alignment horizontal="center"/>
    </xf>
    <xf numFmtId="165" fontId="12" fillId="4" borderId="17" xfId="4" applyNumberFormat="1" applyFont="1" applyFill="1" applyBorder="1" applyAlignment="1">
      <alignment horizontal="center"/>
    </xf>
    <xf numFmtId="0" fontId="9" fillId="4" borderId="17" xfId="6" applyFont="1" applyFill="1" applyBorder="1" applyAlignment="1">
      <alignment horizontal="left" wrapText="1"/>
    </xf>
    <xf numFmtId="0" fontId="11" fillId="4" borderId="41" xfId="0" applyFont="1" applyFill="1" applyBorder="1" applyAlignment="1">
      <alignment horizontal="right" vertical="top"/>
    </xf>
    <xf numFmtId="0" fontId="11" fillId="4" borderId="17" xfId="0" applyFont="1" applyFill="1" applyBorder="1" applyAlignment="1">
      <alignment vertical="top" wrapText="1"/>
    </xf>
    <xf numFmtId="3" fontId="11" fillId="4" borderId="17" xfId="0" applyNumberFormat="1" applyFont="1" applyFill="1" applyBorder="1" applyAlignment="1">
      <alignment vertical="top" wrapText="1"/>
    </xf>
    <xf numFmtId="0" fontId="2" fillId="4" borderId="41" xfId="0" applyFont="1" applyFill="1" applyBorder="1"/>
    <xf numFmtId="0" fontId="2" fillId="4" borderId="17" xfId="0" applyFont="1" applyFill="1" applyBorder="1"/>
    <xf numFmtId="43" fontId="11" fillId="4" borderId="17" xfId="4" applyFont="1" applyFill="1" applyBorder="1"/>
    <xf numFmtId="0" fontId="12" fillId="4" borderId="17" xfId="0" applyFont="1" applyFill="1" applyBorder="1" applyAlignment="1">
      <alignment vertical="top" wrapText="1"/>
    </xf>
    <xf numFmtId="166" fontId="11" fillId="4" borderId="17" xfId="5" applyNumberFormat="1" applyFont="1" applyFill="1" applyBorder="1" applyAlignment="1">
      <alignment vertical="top" wrapText="1"/>
    </xf>
    <xf numFmtId="0" fontId="19" fillId="4" borderId="42" xfId="0" applyFont="1" applyFill="1" applyBorder="1" applyAlignment="1">
      <alignment horizontal="left" vertical="top"/>
    </xf>
    <xf numFmtId="0" fontId="19" fillId="4" borderId="42" xfId="0" applyFont="1" applyFill="1" applyBorder="1" applyAlignment="1">
      <alignment horizontal="center" vertical="top"/>
    </xf>
    <xf numFmtId="0" fontId="11" fillId="4" borderId="41" xfId="0" applyFont="1" applyFill="1" applyBorder="1" applyAlignment="1">
      <alignment horizontal="center"/>
    </xf>
    <xf numFmtId="0" fontId="11" fillId="4" borderId="17" xfId="0" applyFont="1" applyFill="1" applyBorder="1" applyAlignment="1">
      <alignment horizontal="left"/>
    </xf>
    <xf numFmtId="166" fontId="10" fillId="4" borderId="17" xfId="3" applyNumberFormat="1" applyFont="1" applyFill="1" applyBorder="1" applyAlignment="1">
      <alignment horizontal="center"/>
    </xf>
    <xf numFmtId="0" fontId="2" fillId="4" borderId="41" xfId="0" applyNumberFormat="1" applyFont="1" applyFill="1" applyBorder="1"/>
    <xf numFmtId="0" fontId="2" fillId="4" borderId="17" xfId="0" applyNumberFormat="1" applyFont="1" applyFill="1" applyBorder="1"/>
    <xf numFmtId="43" fontId="2" fillId="4" borderId="17" xfId="1" applyFont="1" applyFill="1" applyBorder="1"/>
    <xf numFmtId="166" fontId="9" fillId="4" borderId="17" xfId="3" applyNumberFormat="1" applyFont="1" applyFill="1" applyBorder="1" applyAlignment="1">
      <alignment vertical="top"/>
    </xf>
    <xf numFmtId="0" fontId="10" fillId="4" borderId="41" xfId="0" applyFont="1" applyFill="1" applyBorder="1"/>
    <xf numFmtId="0" fontId="9" fillId="4" borderId="41" xfId="22" applyFont="1" applyFill="1" applyBorder="1" applyAlignment="1">
      <alignment horizontal="center"/>
    </xf>
    <xf numFmtId="0" fontId="10" fillId="4" borderId="41" xfId="0" applyFont="1" applyFill="1" applyBorder="1" applyAlignment="1">
      <alignment vertical="top"/>
    </xf>
    <xf numFmtId="0" fontId="10" fillId="4" borderId="17" xfId="0" applyFont="1" applyFill="1" applyBorder="1" applyAlignment="1">
      <alignment horizontal="center" vertical="top"/>
    </xf>
    <xf numFmtId="166" fontId="10" fillId="4" borderId="17" xfId="3" applyNumberFormat="1" applyFont="1" applyFill="1" applyBorder="1" applyAlignment="1">
      <alignment horizontal="center" vertical="top"/>
    </xf>
    <xf numFmtId="0" fontId="9" fillId="4" borderId="41" xfId="22" applyFont="1" applyFill="1" applyBorder="1" applyAlignment="1">
      <alignment horizontal="center" vertical="top"/>
    </xf>
    <xf numFmtId="0" fontId="10" fillId="4" borderId="17" xfId="22" applyFont="1" applyFill="1" applyBorder="1" applyAlignment="1">
      <alignment horizontal="left" vertical="top"/>
    </xf>
    <xf numFmtId="166" fontId="10" fillId="4" borderId="17" xfId="3" applyNumberFormat="1" applyFont="1" applyFill="1" applyBorder="1" applyAlignment="1">
      <alignment vertical="top"/>
    </xf>
    <xf numFmtId="0" fontId="9" fillId="4" borderId="41" xfId="6" applyFont="1" applyFill="1" applyBorder="1" applyAlignment="1">
      <alignment vertical="top"/>
    </xf>
    <xf numFmtId="0" fontId="9" fillId="4" borderId="41" xfId="23" applyFont="1" applyFill="1" applyBorder="1" applyAlignment="1">
      <alignment horizontal="center" vertical="top"/>
    </xf>
    <xf numFmtId="3" fontId="9" fillId="4" borderId="17" xfId="23" applyNumberFormat="1" applyFont="1" applyFill="1" applyBorder="1" applyAlignment="1">
      <alignment vertical="top"/>
    </xf>
    <xf numFmtId="3" fontId="9" fillId="4" borderId="17" xfId="1" applyNumberFormat="1" applyFont="1" applyFill="1" applyBorder="1" applyAlignment="1">
      <alignment vertical="top"/>
    </xf>
    <xf numFmtId="0" fontId="9" fillId="4" borderId="41" xfId="6" applyFont="1" applyFill="1" applyBorder="1" applyAlignment="1">
      <alignment horizontal="left"/>
    </xf>
    <xf numFmtId="0" fontId="10" fillId="4" borderId="17" xfId="6" applyFont="1" applyFill="1" applyBorder="1"/>
    <xf numFmtId="166" fontId="10" fillId="4" borderId="17" xfId="20" applyNumberFormat="1" applyFont="1" applyFill="1" applyBorder="1"/>
    <xf numFmtId="166" fontId="9" fillId="4" borderId="17" xfId="20" applyNumberFormat="1" applyFont="1" applyFill="1" applyBorder="1"/>
    <xf numFmtId="166" fontId="9" fillId="4" borderId="17" xfId="20" applyNumberFormat="1" applyFont="1" applyFill="1" applyBorder="1" applyAlignment="1">
      <alignment vertical="top"/>
    </xf>
    <xf numFmtId="16" fontId="9" fillId="4" borderId="41" xfId="6" applyNumberFormat="1" applyFont="1" applyFill="1" applyBorder="1" applyAlignment="1">
      <alignment horizontal="left"/>
    </xf>
    <xf numFmtId="3" fontId="10" fillId="4" borderId="17" xfId="26" applyNumberFormat="1" applyFont="1" applyFill="1" applyBorder="1"/>
    <xf numFmtId="3" fontId="10" fillId="4" borderId="17" xfId="1" applyNumberFormat="1" applyFont="1" applyFill="1" applyBorder="1"/>
    <xf numFmtId="0" fontId="5" fillId="4" borderId="41" xfId="6" applyFont="1" applyFill="1" applyBorder="1" applyAlignment="1">
      <alignment vertical="top"/>
    </xf>
    <xf numFmtId="166" fontId="5" fillId="4" borderId="17" xfId="20" applyNumberFormat="1" applyFont="1" applyFill="1" applyBorder="1" applyAlignment="1">
      <alignment horizontal="center" vertical="top"/>
    </xf>
    <xf numFmtId="3" fontId="9" fillId="4" borderId="17" xfId="26" applyNumberFormat="1" applyFont="1" applyFill="1" applyBorder="1" applyAlignment="1">
      <alignment vertical="top"/>
    </xf>
    <xf numFmtId="0" fontId="10" fillId="4" borderId="41" xfId="6" applyFont="1" applyFill="1" applyBorder="1" applyAlignment="1">
      <alignment horizontal="left" indent="2"/>
    </xf>
    <xf numFmtId="0" fontId="9" fillId="4" borderId="41" xfId="6" applyFont="1" applyFill="1" applyBorder="1"/>
    <xf numFmtId="0" fontId="11" fillId="4" borderId="41" xfId="0" applyFont="1" applyFill="1" applyBorder="1" applyAlignment="1">
      <alignment horizontal="right"/>
    </xf>
    <xf numFmtId="0" fontId="11" fillId="4" borderId="17" xfId="0" applyFont="1" applyFill="1" applyBorder="1"/>
    <xf numFmtId="166" fontId="11" fillId="4" borderId="17" xfId="4" applyNumberFormat="1" applyFont="1" applyFill="1" applyBorder="1" applyAlignment="1">
      <alignment horizontal="center"/>
    </xf>
    <xf numFmtId="166" fontId="10" fillId="4" borderId="17" xfId="20" applyNumberFormat="1" applyFont="1" applyFill="1" applyBorder="1" applyAlignment="1">
      <alignment horizontal="center" vertical="top"/>
    </xf>
    <xf numFmtId="0" fontId="3" fillId="4" borderId="41" xfId="0" applyFont="1" applyFill="1" applyBorder="1"/>
    <xf numFmtId="0" fontId="3" fillId="4" borderId="17" xfId="0" applyFont="1" applyFill="1" applyBorder="1"/>
    <xf numFmtId="0" fontId="10" fillId="4" borderId="17" xfId="6" applyFont="1" applyFill="1" applyBorder="1" applyAlignment="1">
      <alignment horizontal="left" wrapText="1"/>
    </xf>
    <xf numFmtId="3" fontId="2" fillId="4" borderId="17" xfId="1" applyNumberFormat="1" applyFont="1" applyFill="1" applyBorder="1"/>
    <xf numFmtId="49" fontId="2" fillId="4" borderId="41" xfId="0" applyNumberFormat="1" applyFont="1" applyFill="1" applyBorder="1" applyAlignment="1">
      <alignment horizontal="right"/>
    </xf>
    <xf numFmtId="43" fontId="2" fillId="4" borderId="17" xfId="0" applyNumberFormat="1" applyFont="1" applyFill="1" applyBorder="1"/>
    <xf numFmtId="166" fontId="2" fillId="4" borderId="17" xfId="0" applyNumberFormat="1" applyFont="1" applyFill="1" applyBorder="1"/>
    <xf numFmtId="165" fontId="3" fillId="4" borderId="17" xfId="1" applyNumberFormat="1" applyFont="1" applyFill="1" applyBorder="1"/>
    <xf numFmtId="165" fontId="2" fillId="4" borderId="17" xfId="1" applyNumberFormat="1" applyFont="1" applyFill="1" applyBorder="1"/>
    <xf numFmtId="0" fontId="2" fillId="4" borderId="43" xfId="0" applyFont="1" applyFill="1" applyBorder="1"/>
    <xf numFmtId="0" fontId="9" fillId="4" borderId="13" xfId="6" applyFont="1" applyFill="1" applyBorder="1" applyAlignment="1">
      <alignment horizontal="left" wrapText="1"/>
    </xf>
    <xf numFmtId="165" fontId="2" fillId="4" borderId="13" xfId="1" applyNumberFormat="1" applyFont="1" applyFill="1" applyBorder="1"/>
    <xf numFmtId="0" fontId="9" fillId="4" borderId="45" xfId="0" applyFont="1" applyFill="1" applyBorder="1"/>
    <xf numFmtId="0" fontId="9" fillId="4" borderId="9" xfId="0" applyFont="1" applyFill="1" applyBorder="1"/>
    <xf numFmtId="165" fontId="10" fillId="4" borderId="9" xfId="4" applyNumberFormat="1" applyFont="1" applyFill="1" applyBorder="1"/>
    <xf numFmtId="0" fontId="10" fillId="4" borderId="46" xfId="0" applyFont="1" applyFill="1" applyBorder="1"/>
    <xf numFmtId="0" fontId="9" fillId="4" borderId="47" xfId="0" applyFont="1" applyFill="1" applyBorder="1"/>
    <xf numFmtId="0" fontId="9" fillId="4" borderId="15" xfId="0" applyFont="1" applyFill="1" applyBorder="1"/>
    <xf numFmtId="165" fontId="10" fillId="4" borderId="15" xfId="4" applyNumberFormat="1" applyFont="1" applyFill="1" applyBorder="1"/>
    <xf numFmtId="0" fontId="2" fillId="4" borderId="48" xfId="0" applyFont="1" applyFill="1" applyBorder="1"/>
    <xf numFmtId="0" fontId="10" fillId="4" borderId="49" xfId="0" applyFont="1" applyFill="1" applyBorder="1" applyAlignment="1">
      <alignment horizontal="center"/>
    </xf>
    <xf numFmtId="0" fontId="10" fillId="4" borderId="36" xfId="0" applyFont="1" applyFill="1" applyBorder="1" applyAlignment="1">
      <alignment horizontal="center"/>
    </xf>
    <xf numFmtId="165" fontId="10" fillId="4" borderId="36" xfId="4" applyNumberFormat="1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/>
    </xf>
    <xf numFmtId="0" fontId="9" fillId="4" borderId="51" xfId="0" applyFont="1" applyFill="1" applyBorder="1"/>
    <xf numFmtId="0" fontId="10" fillId="4" borderId="16" xfId="0" applyFont="1" applyFill="1" applyBorder="1" applyAlignment="1">
      <alignment horizontal="center"/>
    </xf>
    <xf numFmtId="165" fontId="10" fillId="4" borderId="16" xfId="4" applyNumberFormat="1" applyFont="1" applyFill="1" applyBorder="1" applyAlignment="1">
      <alignment horizontal="center"/>
    </xf>
    <xf numFmtId="0" fontId="10" fillId="4" borderId="52" xfId="0" applyFont="1" applyFill="1" applyBorder="1" applyAlignment="1">
      <alignment horizontal="center"/>
    </xf>
    <xf numFmtId="0" fontId="11" fillId="4" borderId="14" xfId="18" applyFont="1" applyFill="1" applyBorder="1"/>
    <xf numFmtId="0" fontId="11" fillId="4" borderId="1" xfId="18" applyFont="1" applyFill="1" applyBorder="1"/>
    <xf numFmtId="43" fontId="11" fillId="4" borderId="1" xfId="5" applyFont="1" applyFill="1" applyBorder="1"/>
    <xf numFmtId="0" fontId="12" fillId="4" borderId="17" xfId="18" applyFont="1" applyFill="1" applyBorder="1" applyAlignment="1">
      <alignment wrapText="1"/>
    </xf>
    <xf numFmtId="0" fontId="50" fillId="0" borderId="17" xfId="0" applyFont="1" applyFill="1" applyBorder="1" applyAlignment="1">
      <alignment horizontal="left" vertical="center" wrapText="1"/>
    </xf>
    <xf numFmtId="0" fontId="50" fillId="4" borderId="17" xfId="0" applyFont="1" applyFill="1" applyBorder="1" applyAlignment="1">
      <alignment horizontal="left" vertical="center" wrapText="1"/>
    </xf>
    <xf numFmtId="0" fontId="50" fillId="0" borderId="17" xfId="0" applyFont="1" applyFill="1" applyBorder="1" applyAlignment="1">
      <alignment vertical="center" wrapText="1"/>
    </xf>
    <xf numFmtId="0" fontId="10" fillId="0" borderId="55" xfId="6" applyFont="1" applyFill="1" applyBorder="1" applyAlignment="1"/>
    <xf numFmtId="0" fontId="13" fillId="0" borderId="56" xfId="6" applyFont="1" applyFill="1" applyBorder="1" applyAlignment="1"/>
    <xf numFmtId="0" fontId="13" fillId="0" borderId="57" xfId="6" applyFont="1" applyFill="1" applyBorder="1" applyAlignment="1"/>
    <xf numFmtId="0" fontId="10" fillId="0" borderId="42" xfId="0" applyFont="1" applyFill="1" applyBorder="1" applyAlignment="1">
      <alignment horizontal="center"/>
    </xf>
    <xf numFmtId="3" fontId="10" fillId="0" borderId="42" xfId="0" applyNumberFormat="1" applyFont="1" applyBorder="1"/>
    <xf numFmtId="3" fontId="10" fillId="0" borderId="17" xfId="0" applyNumberFormat="1" applyFont="1" applyBorder="1" applyAlignment="1">
      <alignment horizontal="center"/>
    </xf>
    <xf numFmtId="3" fontId="10" fillId="0" borderId="42" xfId="0" applyNumberFormat="1" applyFont="1" applyBorder="1" applyAlignment="1">
      <alignment horizontal="center"/>
    </xf>
    <xf numFmtId="3" fontId="9" fillId="0" borderId="41" xfId="0" applyNumberFormat="1" applyFont="1" applyBorder="1"/>
    <xf numFmtId="3" fontId="9" fillId="0" borderId="17" xfId="0" applyNumberFormat="1" applyFont="1" applyBorder="1"/>
    <xf numFmtId="3" fontId="9" fillId="0" borderId="42" xfId="0" applyNumberFormat="1" applyFont="1" applyBorder="1"/>
    <xf numFmtId="3" fontId="10" fillId="0" borderId="41" xfId="0" applyNumberFormat="1" applyFont="1" applyFill="1" applyBorder="1"/>
    <xf numFmtId="3" fontId="10" fillId="0" borderId="17" xfId="0" applyNumberFormat="1" applyFont="1" applyFill="1" applyBorder="1" applyAlignment="1">
      <alignment horizontal="right" vertical="center" wrapText="1"/>
    </xf>
    <xf numFmtId="3" fontId="10" fillId="0" borderId="17" xfId="0" applyNumberFormat="1" applyFont="1" applyBorder="1"/>
    <xf numFmtId="3" fontId="9" fillId="0" borderId="41" xfId="0" applyNumberFormat="1" applyFont="1" applyFill="1" applyBorder="1"/>
    <xf numFmtId="3" fontId="9" fillId="0" borderId="41" xfId="0" applyNumberFormat="1" applyFont="1" applyFill="1" applyBorder="1" applyAlignment="1">
      <alignment horizontal="center"/>
    </xf>
    <xf numFmtId="3" fontId="10" fillId="0" borderId="41" xfId="0" applyNumberFormat="1" applyFont="1" applyFill="1" applyBorder="1" applyAlignment="1">
      <alignment horizontal="center"/>
    </xf>
    <xf numFmtId="3" fontId="10" fillId="0" borderId="17" xfId="27" applyNumberFormat="1" applyFont="1" applyFill="1" applyBorder="1"/>
    <xf numFmtId="3" fontId="10" fillId="0" borderId="42" xfId="27" applyNumberFormat="1" applyFont="1" applyFill="1" applyBorder="1"/>
    <xf numFmtId="3" fontId="9" fillId="0" borderId="43" xfId="0" applyNumberFormat="1" applyFont="1" applyFill="1" applyBorder="1"/>
    <xf numFmtId="3" fontId="9" fillId="0" borderId="13" xfId="0" applyNumberFormat="1" applyFont="1" applyBorder="1"/>
    <xf numFmtId="3" fontId="9" fillId="0" borderId="44" xfId="0" applyNumberFormat="1" applyFont="1" applyBorder="1"/>
    <xf numFmtId="0" fontId="0" fillId="4" borderId="17" xfId="0" applyFill="1" applyBorder="1"/>
    <xf numFmtId="0" fontId="0" fillId="4" borderId="42" xfId="0" applyFill="1" applyBorder="1"/>
    <xf numFmtId="0" fontId="21" fillId="4" borderId="41" xfId="0" applyFont="1" applyFill="1" applyBorder="1"/>
    <xf numFmtId="165" fontId="3" fillId="4" borderId="42" xfId="1" applyNumberFormat="1" applyFont="1" applyFill="1" applyBorder="1"/>
    <xf numFmtId="0" fontId="0" fillId="4" borderId="17" xfId="0" applyFill="1" applyBorder="1" applyAlignment="1">
      <alignment vertical="center" wrapText="1"/>
    </xf>
    <xf numFmtId="165" fontId="0" fillId="4" borderId="17" xfId="1" applyNumberFormat="1" applyFont="1" applyFill="1" applyBorder="1"/>
    <xf numFmtId="165" fontId="2" fillId="4" borderId="42" xfId="1" applyNumberFormat="1" applyFont="1" applyFill="1" applyBorder="1"/>
    <xf numFmtId="165" fontId="22" fillId="4" borderId="17" xfId="1" applyNumberFormat="1" applyFont="1" applyFill="1" applyBorder="1"/>
    <xf numFmtId="165" fontId="22" fillId="4" borderId="42" xfId="1" applyNumberFormat="1" applyFont="1" applyFill="1" applyBorder="1"/>
    <xf numFmtId="165" fontId="3" fillId="4" borderId="17" xfId="0" applyNumberFormat="1" applyFont="1" applyFill="1" applyBorder="1"/>
    <xf numFmtId="165" fontId="3" fillId="4" borderId="42" xfId="0" applyNumberFormat="1" applyFont="1" applyFill="1" applyBorder="1"/>
    <xf numFmtId="165" fontId="0" fillId="4" borderId="17" xfId="0" applyNumberFormat="1" applyFont="1" applyFill="1" applyBorder="1"/>
    <xf numFmtId="165" fontId="0" fillId="4" borderId="42" xfId="0" applyNumberFormat="1" applyFont="1" applyFill="1" applyBorder="1"/>
    <xf numFmtId="0" fontId="0" fillId="4" borderId="13" xfId="0" applyFill="1" applyBorder="1"/>
    <xf numFmtId="0" fontId="0" fillId="4" borderId="44" xfId="0" applyFill="1" applyBorder="1"/>
    <xf numFmtId="0" fontId="0" fillId="4" borderId="39" xfId="0" applyFill="1" applyBorder="1"/>
    <xf numFmtId="0" fontId="0" fillId="4" borderId="40" xfId="0" applyFill="1" applyBorder="1"/>
    <xf numFmtId="0" fontId="3" fillId="4" borderId="36" xfId="0" applyFont="1" applyFill="1" applyBorder="1" applyAlignment="1">
      <alignment horizontal="center" wrapText="1"/>
    </xf>
    <xf numFmtId="0" fontId="3" fillId="4" borderId="36" xfId="0" applyFont="1" applyFill="1" applyBorder="1" applyAlignment="1">
      <alignment horizontal="center" vertical="center"/>
    </xf>
    <xf numFmtId="0" fontId="3" fillId="4" borderId="50" xfId="0" applyFont="1" applyFill="1" applyBorder="1" applyAlignment="1">
      <alignment horizontal="center" vertical="center"/>
    </xf>
    <xf numFmtId="0" fontId="0" fillId="4" borderId="16" xfId="0" applyFill="1" applyBorder="1"/>
    <xf numFmtId="0" fontId="3" fillId="4" borderId="16" xfId="0" applyFont="1" applyFill="1" applyBorder="1" applyAlignment="1">
      <alignment horizontal="center" vertical="center"/>
    </xf>
    <xf numFmtId="0" fontId="3" fillId="4" borderId="52" xfId="0" applyFont="1" applyFill="1" applyBorder="1" applyAlignment="1">
      <alignment horizontal="center" vertical="center"/>
    </xf>
    <xf numFmtId="0" fontId="0" fillId="4" borderId="2" xfId="0" applyFill="1" applyBorder="1"/>
    <xf numFmtId="0" fontId="0" fillId="4" borderId="3" xfId="0" applyFill="1" applyBorder="1"/>
    <xf numFmtId="0" fontId="0" fillId="4" borderId="58" xfId="0" applyFill="1" applyBorder="1"/>
    <xf numFmtId="0" fontId="0" fillId="4" borderId="45" xfId="0" applyFill="1" applyBorder="1"/>
    <xf numFmtId="0" fontId="0" fillId="4" borderId="9" xfId="0" applyFill="1" applyBorder="1"/>
    <xf numFmtId="0" fontId="0" fillId="4" borderId="60" xfId="0" applyFill="1" applyBorder="1"/>
    <xf numFmtId="0" fontId="21" fillId="4" borderId="51" xfId="0" applyFont="1" applyFill="1" applyBorder="1"/>
    <xf numFmtId="0" fontId="0" fillId="4" borderId="61" xfId="0" applyFill="1" applyBorder="1"/>
    <xf numFmtId="165" fontId="22" fillId="4" borderId="9" xfId="0" applyNumberFormat="1" applyFont="1" applyFill="1" applyBorder="1"/>
    <xf numFmtId="165" fontId="22" fillId="4" borderId="46" xfId="0" applyNumberFormat="1" applyFont="1" applyFill="1" applyBorder="1"/>
    <xf numFmtId="0" fontId="0" fillId="4" borderId="53" xfId="0" applyFill="1" applyBorder="1"/>
    <xf numFmtId="0" fontId="3" fillId="4" borderId="54" xfId="0" applyFont="1" applyFill="1" applyBorder="1"/>
    <xf numFmtId="0" fontId="0" fillId="4" borderId="54" xfId="0" applyFill="1" applyBorder="1"/>
    <xf numFmtId="0" fontId="3" fillId="4" borderId="53" xfId="0" applyFont="1" applyFill="1" applyBorder="1"/>
    <xf numFmtId="0" fontId="0" fillId="4" borderId="63" xfId="0" applyFill="1" applyBorder="1"/>
    <xf numFmtId="0" fontId="0" fillId="4" borderId="62" xfId="0" applyFill="1" applyBorder="1"/>
    <xf numFmtId="0" fontId="11" fillId="0" borderId="2" xfId="0" applyFont="1" applyBorder="1"/>
    <xf numFmtId="0" fontId="11" fillId="0" borderId="3" xfId="0" applyFont="1" applyBorder="1"/>
    <xf numFmtId="0" fontId="11" fillId="0" borderId="4" xfId="0" applyFont="1" applyBorder="1"/>
    <xf numFmtId="0" fontId="12" fillId="0" borderId="6" xfId="0" applyFont="1" applyBorder="1" applyAlignment="1">
      <alignment horizontal="center" vertical="center"/>
    </xf>
    <xf numFmtId="0" fontId="11" fillId="0" borderId="7" xfId="0" applyFont="1" applyBorder="1"/>
    <xf numFmtId="0" fontId="11" fillId="0" borderId="1" xfId="0" applyFont="1" applyBorder="1"/>
    <xf numFmtId="0" fontId="12" fillId="0" borderId="8" xfId="0" applyFont="1" applyBorder="1" applyAlignment="1">
      <alignment horizontal="center" vertical="center"/>
    </xf>
    <xf numFmtId="0" fontId="11" fillId="0" borderId="11" xfId="0" applyFont="1" applyBorder="1"/>
    <xf numFmtId="0" fontId="11" fillId="0" borderId="56" xfId="0" applyFont="1" applyBorder="1"/>
    <xf numFmtId="0" fontId="11" fillId="0" borderId="17" xfId="0" applyFont="1" applyBorder="1"/>
    <xf numFmtId="0" fontId="11" fillId="0" borderId="54" xfId="0" applyFont="1" applyBorder="1"/>
    <xf numFmtId="0" fontId="12" fillId="0" borderId="54" xfId="0" applyFont="1" applyBorder="1"/>
    <xf numFmtId="0" fontId="12" fillId="0" borderId="17" xfId="0" applyFont="1" applyBorder="1"/>
    <xf numFmtId="0" fontId="11" fillId="0" borderId="62" xfId="0" applyFont="1" applyBorder="1"/>
    <xf numFmtId="0" fontId="11" fillId="0" borderId="13" xfId="0" applyFont="1" applyBorder="1"/>
    <xf numFmtId="0" fontId="12" fillId="0" borderId="5" xfId="0" applyFont="1" applyBorder="1"/>
    <xf numFmtId="0" fontId="12" fillId="0" borderId="0" xfId="0" applyFont="1" applyBorder="1"/>
    <xf numFmtId="165" fontId="12" fillId="0" borderId="6" xfId="0" applyNumberFormat="1" applyFont="1" applyBorder="1"/>
    <xf numFmtId="0" fontId="11" fillId="0" borderId="8" xfId="0" applyFont="1" applyBorder="1"/>
    <xf numFmtId="0" fontId="11" fillId="0" borderId="64" xfId="0" applyFont="1" applyBorder="1"/>
    <xf numFmtId="0" fontId="30" fillId="0" borderId="41" xfId="0" applyFont="1" applyBorder="1"/>
    <xf numFmtId="0" fontId="11" fillId="0" borderId="53" xfId="0" applyFont="1" applyBorder="1"/>
    <xf numFmtId="0" fontId="12" fillId="0" borderId="53" xfId="0" applyFont="1" applyBorder="1"/>
    <xf numFmtId="0" fontId="11" fillId="0" borderId="63" xfId="0" applyFont="1" applyBorder="1"/>
    <xf numFmtId="0" fontId="11" fillId="0" borderId="57" xfId="0" applyFont="1" applyBorder="1"/>
    <xf numFmtId="165" fontId="52" fillId="0" borderId="42" xfId="0" applyNumberFormat="1" applyFont="1" applyBorder="1"/>
    <xf numFmtId="0" fontId="11" fillId="0" borderId="42" xfId="0" applyFont="1" applyBorder="1"/>
    <xf numFmtId="165" fontId="12" fillId="0" borderId="42" xfId="1" applyNumberFormat="1" applyFont="1" applyBorder="1"/>
    <xf numFmtId="165" fontId="11" fillId="0" borderId="42" xfId="1" applyNumberFormat="1" applyFont="1" applyBorder="1"/>
    <xf numFmtId="165" fontId="52" fillId="0" borderId="42" xfId="1" applyNumberFormat="1" applyFont="1" applyBorder="1"/>
    <xf numFmtId="43" fontId="11" fillId="0" borderId="42" xfId="1" applyFont="1" applyBorder="1"/>
    <xf numFmtId="0" fontId="11" fillId="0" borderId="44" xfId="0" applyFont="1" applyBorder="1"/>
    <xf numFmtId="3" fontId="9" fillId="4" borderId="17" xfId="18" applyNumberFormat="1" applyFont="1" applyFill="1" applyBorder="1" applyAlignment="1">
      <alignment horizontal="left" wrapText="1"/>
    </xf>
    <xf numFmtId="165" fontId="10" fillId="0" borderId="0" xfId="1" applyNumberFormat="1" applyFont="1" applyFill="1" applyBorder="1" applyAlignment="1">
      <alignment horizontal="center"/>
    </xf>
    <xf numFmtId="165" fontId="4" fillId="0" borderId="0" xfId="1" applyNumberFormat="1" applyFont="1" applyFill="1" applyBorder="1" applyAlignment="1">
      <alignment horizontal="center"/>
    </xf>
    <xf numFmtId="0" fontId="9" fillId="4" borderId="7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left" vertical="top" wrapText="1"/>
    </xf>
    <xf numFmtId="0" fontId="10" fillId="4" borderId="25" xfId="6" applyFont="1" applyFill="1" applyBorder="1" applyAlignment="1">
      <alignment horizontal="left" vertical="top" wrapText="1" indent="3"/>
    </xf>
    <xf numFmtId="0" fontId="10" fillId="4" borderId="23" xfId="6" applyFont="1" applyFill="1" applyBorder="1" applyAlignment="1">
      <alignment horizontal="left" vertical="top" wrapText="1" indent="3"/>
    </xf>
    <xf numFmtId="0" fontId="10" fillId="4" borderId="25" xfId="0" applyFont="1" applyFill="1" applyBorder="1" applyAlignment="1">
      <alignment horizontal="left" indent="3"/>
    </xf>
    <xf numFmtId="0" fontId="10" fillId="4" borderId="23" xfId="0" applyFont="1" applyFill="1" applyBorder="1" applyAlignment="1">
      <alignment horizontal="left" indent="3"/>
    </xf>
    <xf numFmtId="0" fontId="10" fillId="4" borderId="19" xfId="6" applyFont="1" applyFill="1" applyBorder="1" applyAlignment="1">
      <alignment horizontal="center"/>
    </xf>
    <xf numFmtId="0" fontId="10" fillId="4" borderId="20" xfId="6" applyFont="1" applyFill="1" applyBorder="1" applyAlignment="1">
      <alignment horizontal="center"/>
    </xf>
    <xf numFmtId="0" fontId="10" fillId="4" borderId="21" xfId="6" applyFont="1" applyFill="1" applyBorder="1" applyAlignment="1">
      <alignment horizontal="center"/>
    </xf>
    <xf numFmtId="0" fontId="10" fillId="4" borderId="22" xfId="6" applyFont="1" applyFill="1" applyBorder="1" applyAlignment="1">
      <alignment horizontal="center"/>
    </xf>
    <xf numFmtId="0" fontId="10" fillId="4" borderId="23" xfId="6" applyFont="1" applyFill="1" applyBorder="1" applyAlignment="1">
      <alignment horizontal="center"/>
    </xf>
    <xf numFmtId="0" fontId="10" fillId="4" borderId="24" xfId="6" applyFont="1" applyFill="1" applyBorder="1" applyAlignment="1">
      <alignment horizontal="center"/>
    </xf>
    <xf numFmtId="0" fontId="9" fillId="0" borderId="0" xfId="0" applyFont="1" applyFill="1" applyAlignment="1">
      <alignment horizontal="left" wrapText="1"/>
    </xf>
    <xf numFmtId="0" fontId="9" fillId="0" borderId="0" xfId="0" applyFont="1" applyFill="1" applyAlignment="1">
      <alignment horizontal="left"/>
    </xf>
    <xf numFmtId="0" fontId="35" fillId="0" borderId="0" xfId="0" applyFont="1" applyBorder="1" applyAlignment="1">
      <alignment horizontal="center" wrapText="1"/>
    </xf>
    <xf numFmtId="0" fontId="40" fillId="0" borderId="0" xfId="0" applyFont="1" applyBorder="1" applyAlignment="1">
      <alignment horizontal="center"/>
    </xf>
    <xf numFmtId="0" fontId="40" fillId="0" borderId="17" xfId="0" applyFont="1" applyFill="1" applyBorder="1" applyAlignment="1">
      <alignment horizontal="center" vertical="center"/>
    </xf>
    <xf numFmtId="0" fontId="40" fillId="0" borderId="17" xfId="0" applyFont="1" applyFill="1" applyBorder="1" applyAlignment="1">
      <alignment horizontal="center"/>
    </xf>
    <xf numFmtId="0" fontId="11" fillId="0" borderId="18" xfId="0" applyFont="1" applyFill="1" applyBorder="1" applyAlignment="1">
      <alignment horizontal="left" wrapText="1"/>
    </xf>
    <xf numFmtId="0" fontId="48" fillId="0" borderId="0" xfId="0" applyFont="1" applyBorder="1" applyAlignment="1">
      <alignment horizontal="center" wrapText="1"/>
    </xf>
    <xf numFmtId="0" fontId="48" fillId="0" borderId="0" xfId="0" applyFont="1" applyBorder="1" applyAlignment="1">
      <alignment horizontal="center"/>
    </xf>
    <xf numFmtId="0" fontId="48" fillId="4" borderId="17" xfId="0" applyFont="1" applyFill="1" applyBorder="1" applyAlignment="1">
      <alignment horizontal="center" vertical="center"/>
    </xf>
    <xf numFmtId="0" fontId="48" fillId="0" borderId="15" xfId="0" applyFont="1" applyFill="1" applyBorder="1" applyAlignment="1">
      <alignment horizontal="center" vertical="center"/>
    </xf>
    <xf numFmtId="0" fontId="48" fillId="0" borderId="16" xfId="0" applyFont="1" applyFill="1" applyBorder="1" applyAlignment="1">
      <alignment horizontal="center" vertical="center"/>
    </xf>
    <xf numFmtId="0" fontId="48" fillId="0" borderId="17" xfId="0" applyFont="1" applyFill="1" applyBorder="1" applyAlignment="1">
      <alignment horizontal="center" vertical="center"/>
    </xf>
    <xf numFmtId="0" fontId="10" fillId="4" borderId="41" xfId="6" applyFont="1" applyFill="1" applyBorder="1" applyAlignment="1">
      <alignment horizontal="left" vertical="top" wrapText="1"/>
    </xf>
    <xf numFmtId="0" fontId="10" fillId="4" borderId="17" xfId="6" applyFont="1" applyFill="1" applyBorder="1" applyAlignment="1">
      <alignment horizontal="left" vertical="top" wrapText="1"/>
    </xf>
    <xf numFmtId="0" fontId="10" fillId="4" borderId="53" xfId="0" applyFont="1" applyFill="1" applyBorder="1" applyAlignment="1">
      <alignment vertical="center" wrapText="1"/>
    </xf>
    <xf numFmtId="0" fontId="10" fillId="4" borderId="54" xfId="0" applyFont="1" applyFill="1" applyBorder="1" applyAlignment="1">
      <alignment vertical="center" wrapText="1"/>
    </xf>
    <xf numFmtId="0" fontId="10" fillId="4" borderId="2" xfId="6" applyFont="1" applyFill="1" applyBorder="1" applyAlignment="1">
      <alignment horizontal="center"/>
    </xf>
    <xf numFmtId="0" fontId="10" fillId="4" borderId="3" xfId="6" applyFont="1" applyFill="1" applyBorder="1" applyAlignment="1">
      <alignment horizontal="center"/>
    </xf>
    <xf numFmtId="0" fontId="10" fillId="4" borderId="4" xfId="6" applyFont="1" applyFill="1" applyBorder="1" applyAlignment="1">
      <alignment horizontal="center"/>
    </xf>
    <xf numFmtId="0" fontId="10" fillId="4" borderId="5" xfId="6" applyFont="1" applyFill="1" applyBorder="1" applyAlignment="1">
      <alignment horizontal="center"/>
    </xf>
    <xf numFmtId="0" fontId="10" fillId="4" borderId="0" xfId="6" applyFont="1" applyFill="1" applyBorder="1" applyAlignment="1">
      <alignment horizontal="center"/>
    </xf>
    <xf numFmtId="0" fontId="10" fillId="4" borderId="6" xfId="6" applyFont="1" applyFill="1" applyBorder="1" applyAlignment="1">
      <alignment horizontal="center"/>
    </xf>
    <xf numFmtId="0" fontId="10" fillId="4" borderId="53" xfId="6" applyFont="1" applyFill="1" applyBorder="1" applyAlignment="1">
      <alignment wrapText="1"/>
    </xf>
    <xf numFmtId="0" fontId="0" fillId="0" borderId="54" xfId="0" applyBorder="1" applyAlignment="1">
      <alignment wrapText="1"/>
    </xf>
    <xf numFmtId="3" fontId="10" fillId="0" borderId="41" xfId="0" applyNumberFormat="1" applyFont="1" applyFill="1" applyBorder="1" applyAlignment="1">
      <alignment horizontal="center" vertical="center" wrapText="1"/>
    </xf>
    <xf numFmtId="3" fontId="10" fillId="0" borderId="17" xfId="0" applyNumberFormat="1" applyFont="1" applyBorder="1" applyAlignment="1">
      <alignment horizontal="center"/>
    </xf>
    <xf numFmtId="0" fontId="13" fillId="0" borderId="41" xfId="6" applyFont="1" applyFill="1" applyBorder="1" applyAlignment="1">
      <alignment horizontal="center"/>
    </xf>
    <xf numFmtId="0" fontId="13" fillId="0" borderId="17" xfId="6" applyFont="1" applyFill="1" applyBorder="1" applyAlignment="1">
      <alignment horizontal="center"/>
    </xf>
    <xf numFmtId="0" fontId="13" fillId="0" borderId="42" xfId="6" applyFont="1" applyFill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31" fillId="0" borderId="17" xfId="0" applyFont="1" applyFill="1" applyBorder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/>
    </xf>
    <xf numFmtId="0" fontId="12" fillId="4" borderId="0" xfId="6" applyFont="1" applyFill="1" applyBorder="1" applyAlignment="1">
      <alignment horizontal="center"/>
    </xf>
    <xf numFmtId="0" fontId="12" fillId="4" borderId="0" xfId="18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59" xfId="0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horizontal="center"/>
    </xf>
    <xf numFmtId="0" fontId="10" fillId="4" borderId="23" xfId="0" applyFont="1" applyFill="1" applyBorder="1" applyAlignment="1">
      <alignment horizontal="center"/>
    </xf>
    <xf numFmtId="0" fontId="10" fillId="4" borderId="24" xfId="0" applyFont="1" applyFill="1" applyBorder="1" applyAlignment="1">
      <alignment horizontal="center"/>
    </xf>
    <xf numFmtId="0" fontId="10" fillId="0" borderId="0" xfId="6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0" xfId="0" applyFont="1" applyBorder="1" applyAlignment="1">
      <alignment horizontal="center"/>
    </xf>
  </cellXfs>
  <cellStyles count="32">
    <cellStyle name="Millares" xfId="1" builtinId="3"/>
    <cellStyle name="Millares 10 2" xfId="5"/>
    <cellStyle name="Millares 16 2" xfId="7"/>
    <cellStyle name="Millares 17" xfId="8"/>
    <cellStyle name="Millares 19" xfId="9"/>
    <cellStyle name="Millares 2" xfId="3"/>
    <cellStyle name="Millares 2 12" xfId="25"/>
    <cellStyle name="Millares 22" xfId="10"/>
    <cellStyle name="Millares 23" xfId="11"/>
    <cellStyle name="Millares 24" xfId="12"/>
    <cellStyle name="Millares 25" xfId="13"/>
    <cellStyle name="Millares 27" xfId="14"/>
    <cellStyle name="Millares 28" xfId="15"/>
    <cellStyle name="Millares 29" xfId="16"/>
    <cellStyle name="Millares 3" xfId="20"/>
    <cellStyle name="Millares 3 2" xfId="27"/>
    <cellStyle name="Millares 4" xfId="21"/>
    <cellStyle name="Millares 4 2" xfId="4"/>
    <cellStyle name="Millares 7 2" xfId="17"/>
    <cellStyle name="Millares_AMPLIACION- RENGLONES (2)" xfId="26"/>
    <cellStyle name="Normal" xfId="0" builtinId="0"/>
    <cellStyle name="Normal 14" xfId="18"/>
    <cellStyle name="Normal 2" xfId="2"/>
    <cellStyle name="Normal 2 10" xfId="24"/>
    <cellStyle name="Normal 2 12" xfId="23"/>
    <cellStyle name="Normal 2 2" xfId="22"/>
    <cellStyle name="Normal 3" xfId="6"/>
    <cellStyle name="Normal 3 2" xfId="30"/>
    <cellStyle name="Normal 4" xfId="19"/>
    <cellStyle name="SnipRepFormato2" xfId="28"/>
    <cellStyle name="SnipRepFormato2 2" xfId="31"/>
    <cellStyle name="SnipRepFormato4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3"/>
  <sheetViews>
    <sheetView showGridLines="0" workbookViewId="0">
      <selection activeCell="A7" sqref="A7"/>
    </sheetView>
  </sheetViews>
  <sheetFormatPr baseColWidth="10" defaultRowHeight="12.75" x14ac:dyDescent="0.2"/>
  <cols>
    <col min="1" max="1" width="71.7109375" style="6" customWidth="1"/>
    <col min="2" max="2" width="18.140625" style="6" customWidth="1"/>
    <col min="3" max="113" width="11.42578125" style="6"/>
    <col min="114" max="114" width="44" style="6" customWidth="1"/>
    <col min="115" max="117" width="0" style="6" hidden="1" customWidth="1"/>
    <col min="118" max="118" width="12.7109375" style="6" customWidth="1"/>
    <col min="119" max="119" width="10.28515625" style="6" bestFit="1" customWidth="1"/>
    <col min="120" max="120" width="10.28515625" style="6" customWidth="1"/>
    <col min="121" max="121" width="9.7109375" style="6" customWidth="1"/>
    <col min="122" max="122" width="12.7109375" style="6" customWidth="1"/>
    <col min="123" max="123" width="12" style="6" customWidth="1"/>
    <col min="124" max="124" width="11.5703125" style="6" customWidth="1"/>
    <col min="125" max="125" width="10" style="6" customWidth="1"/>
    <col min="126" max="126" width="9" style="6" customWidth="1"/>
    <col min="127" max="127" width="8.7109375" style="6" customWidth="1"/>
    <col min="128" max="128" width="9.5703125" style="6" customWidth="1"/>
    <col min="129" max="129" width="17.140625" style="6" customWidth="1"/>
    <col min="130" max="130" width="8.85546875" style="6" customWidth="1"/>
    <col min="131" max="149" width="18.7109375" style="6" customWidth="1"/>
    <col min="150" max="150" width="17.5703125" style="6" customWidth="1"/>
    <col min="151" max="151" width="21.5703125" style="6" customWidth="1"/>
    <col min="152" max="152" width="18.42578125" style="6" customWidth="1"/>
    <col min="153" max="153" width="20.140625" style="6" customWidth="1"/>
    <col min="154" max="154" width="18.7109375" style="6" customWidth="1"/>
    <col min="155" max="155" width="17.7109375" style="6" customWidth="1"/>
    <col min="156" max="157" width="18.85546875" style="6" customWidth="1"/>
    <col min="158" max="158" width="18.28515625" style="6" customWidth="1"/>
    <col min="159" max="159" width="20.140625" style="6" customWidth="1"/>
    <col min="160" max="160" width="17.140625" style="6" customWidth="1"/>
    <col min="161" max="161" width="17.42578125" style="6" customWidth="1"/>
    <col min="162" max="162" width="16.28515625" style="6" customWidth="1"/>
    <col min="163" max="163" width="19.28515625" style="6" customWidth="1"/>
    <col min="164" max="164" width="18" style="6" customWidth="1"/>
    <col min="165" max="165" width="18.28515625" style="6" customWidth="1"/>
    <col min="166" max="166" width="17.140625" style="6" customWidth="1"/>
    <col min="167" max="167" width="16.7109375" style="6" customWidth="1"/>
    <col min="168" max="168" width="17.7109375" style="6" customWidth="1"/>
    <col min="169" max="169" width="19.28515625" style="6" customWidth="1"/>
    <col min="170" max="170" width="17.28515625" style="6" customWidth="1"/>
    <col min="171" max="171" width="17.7109375" style="6" customWidth="1"/>
    <col min="172" max="172" width="19.7109375" style="6" customWidth="1"/>
    <col min="173" max="173" width="17.28515625" style="6" customWidth="1"/>
    <col min="174" max="174" width="18.28515625" style="6" customWidth="1"/>
    <col min="175" max="175" width="20.85546875" style="6" customWidth="1"/>
    <col min="176" max="176" width="17.28515625" style="6" customWidth="1"/>
    <col min="177" max="177" width="17.5703125" style="6" customWidth="1"/>
    <col min="178" max="178" width="18.42578125" style="6" customWidth="1"/>
    <col min="179" max="179" width="18.85546875" style="6" customWidth="1"/>
    <col min="180" max="180" width="19.7109375" style="6" customWidth="1"/>
    <col min="181" max="181" width="18" style="6" customWidth="1"/>
    <col min="182" max="182" width="19.140625" style="6" customWidth="1"/>
    <col min="183" max="183" width="19" style="6" customWidth="1"/>
    <col min="184" max="184" width="19.28515625" style="6" customWidth="1"/>
    <col min="185" max="186" width="19" style="6" customWidth="1"/>
    <col min="187" max="187" width="18.28515625" style="6" customWidth="1"/>
    <col min="188" max="188" width="19.5703125" style="6" customWidth="1"/>
    <col min="189" max="189" width="20.28515625" style="6" customWidth="1"/>
    <col min="190" max="190" width="8.7109375" style="6" customWidth="1"/>
    <col min="191" max="191" width="20.42578125" style="6" customWidth="1"/>
    <col min="192" max="192" width="18.28515625" style="6" customWidth="1"/>
    <col min="193" max="193" width="17.85546875" style="6" customWidth="1"/>
    <col min="194" max="194" width="19.28515625" style="6" customWidth="1"/>
    <col min="195" max="195" width="18.140625" style="6" customWidth="1"/>
    <col min="196" max="196" width="17.85546875" style="6" customWidth="1"/>
    <col min="197" max="197" width="18" style="6" customWidth="1"/>
    <col min="198" max="198" width="18.28515625" style="6" customWidth="1"/>
    <col min="199" max="199" width="19.42578125" style="6" customWidth="1"/>
    <col min="200" max="200" width="17.85546875" style="6" customWidth="1"/>
    <col min="201" max="201" width="18.85546875" style="6" customWidth="1"/>
    <col min="202" max="202" width="17.85546875" style="6" customWidth="1"/>
    <col min="203" max="203" width="18.5703125" style="6" customWidth="1"/>
    <col min="204" max="204" width="19.140625" style="6" customWidth="1"/>
    <col min="205" max="205" width="19.42578125" style="6" customWidth="1"/>
    <col min="206" max="206" width="17.7109375" style="6" customWidth="1"/>
    <col min="207" max="207" width="19.42578125" style="6" customWidth="1"/>
    <col min="208" max="208" width="19.28515625" style="6" customWidth="1"/>
    <col min="209" max="209" width="19.85546875" style="6" customWidth="1"/>
    <col min="210" max="210" width="12" style="6" customWidth="1"/>
    <col min="211" max="211" width="18.5703125" style="6" customWidth="1"/>
    <col min="212" max="212" width="17.85546875" style="6" customWidth="1"/>
    <col min="213" max="213" width="18.85546875" style="6" customWidth="1"/>
    <col min="214" max="214" width="19.140625" style="6" customWidth="1"/>
    <col min="215" max="215" width="18.85546875" style="6" customWidth="1"/>
    <col min="216" max="217" width="17.7109375" style="6" customWidth="1"/>
    <col min="218" max="218" width="19.42578125" style="6" customWidth="1"/>
    <col min="219" max="219" width="18.5703125" style="6" customWidth="1"/>
    <col min="220" max="220" width="17.140625" style="6" customWidth="1"/>
    <col min="221" max="221" width="17" style="6" customWidth="1"/>
    <col min="222" max="222" width="16.28515625" style="6" customWidth="1"/>
    <col min="223" max="223" width="17.85546875" style="6" customWidth="1"/>
    <col min="224" max="224" width="18.5703125" style="6" customWidth="1"/>
    <col min="225" max="225" width="17.42578125" style="6" customWidth="1"/>
    <col min="226" max="226" width="16.5703125" style="6" customWidth="1"/>
    <col min="227" max="227" width="17.28515625" style="6" customWidth="1"/>
    <col min="228" max="228" width="19" style="6" customWidth="1"/>
    <col min="229" max="229" width="18.5703125" style="6" customWidth="1"/>
    <col min="230" max="230" width="9.28515625" style="6" customWidth="1"/>
    <col min="231" max="231" width="18.7109375" style="6" customWidth="1"/>
    <col min="232" max="238" width="18.5703125" style="6" customWidth="1"/>
    <col min="239" max="239" width="20.140625" style="6" customWidth="1"/>
    <col min="240" max="240" width="18.5703125" style="6" customWidth="1"/>
    <col min="241" max="242" width="0" style="6" hidden="1" customWidth="1"/>
    <col min="243" max="243" width="18.5703125" style="6" customWidth="1"/>
    <col min="244" max="247" width="0" style="6" hidden="1" customWidth="1"/>
    <col min="248" max="248" width="15.5703125" style="6" customWidth="1"/>
    <col min="249" max="249" width="19" style="6" customWidth="1"/>
    <col min="250" max="250" width="18.5703125" style="6" customWidth="1"/>
    <col min="251" max="369" width="11.42578125" style="6"/>
    <col min="370" max="370" width="44" style="6" customWidth="1"/>
    <col min="371" max="373" width="0" style="6" hidden="1" customWidth="1"/>
    <col min="374" max="374" width="12.7109375" style="6" customWidth="1"/>
    <col min="375" max="375" width="10.28515625" style="6" bestFit="1" customWidth="1"/>
    <col min="376" max="376" width="10.28515625" style="6" customWidth="1"/>
    <col min="377" max="377" width="9.7109375" style="6" customWidth="1"/>
    <col min="378" max="378" width="12.7109375" style="6" customWidth="1"/>
    <col min="379" max="379" width="12" style="6" customWidth="1"/>
    <col min="380" max="380" width="11.5703125" style="6" customWidth="1"/>
    <col min="381" max="381" width="10" style="6" customWidth="1"/>
    <col min="382" max="382" width="9" style="6" customWidth="1"/>
    <col min="383" max="383" width="8.7109375" style="6" customWidth="1"/>
    <col min="384" max="384" width="9.5703125" style="6" customWidth="1"/>
    <col min="385" max="385" width="17.140625" style="6" customWidth="1"/>
    <col min="386" max="386" width="8.85546875" style="6" customWidth="1"/>
    <col min="387" max="405" width="18.7109375" style="6" customWidth="1"/>
    <col min="406" max="406" width="17.5703125" style="6" customWidth="1"/>
    <col min="407" max="407" width="21.5703125" style="6" customWidth="1"/>
    <col min="408" max="408" width="18.42578125" style="6" customWidth="1"/>
    <col min="409" max="409" width="20.140625" style="6" customWidth="1"/>
    <col min="410" max="410" width="18.7109375" style="6" customWidth="1"/>
    <col min="411" max="411" width="17.7109375" style="6" customWidth="1"/>
    <col min="412" max="413" width="18.85546875" style="6" customWidth="1"/>
    <col min="414" max="414" width="18.28515625" style="6" customWidth="1"/>
    <col min="415" max="415" width="20.140625" style="6" customWidth="1"/>
    <col min="416" max="416" width="17.140625" style="6" customWidth="1"/>
    <col min="417" max="417" width="17.42578125" style="6" customWidth="1"/>
    <col min="418" max="418" width="16.28515625" style="6" customWidth="1"/>
    <col min="419" max="419" width="19.28515625" style="6" customWidth="1"/>
    <col min="420" max="420" width="18" style="6" customWidth="1"/>
    <col min="421" max="421" width="18.28515625" style="6" customWidth="1"/>
    <col min="422" max="422" width="17.140625" style="6" customWidth="1"/>
    <col min="423" max="423" width="16.7109375" style="6" customWidth="1"/>
    <col min="424" max="424" width="17.7109375" style="6" customWidth="1"/>
    <col min="425" max="425" width="19.28515625" style="6" customWidth="1"/>
    <col min="426" max="426" width="17.28515625" style="6" customWidth="1"/>
    <col min="427" max="427" width="17.7109375" style="6" customWidth="1"/>
    <col min="428" max="428" width="19.7109375" style="6" customWidth="1"/>
    <col min="429" max="429" width="17.28515625" style="6" customWidth="1"/>
    <col min="430" max="430" width="18.28515625" style="6" customWidth="1"/>
    <col min="431" max="431" width="20.85546875" style="6" customWidth="1"/>
    <col min="432" max="432" width="17.28515625" style="6" customWidth="1"/>
    <col min="433" max="433" width="17.5703125" style="6" customWidth="1"/>
    <col min="434" max="434" width="18.42578125" style="6" customWidth="1"/>
    <col min="435" max="435" width="18.85546875" style="6" customWidth="1"/>
    <col min="436" max="436" width="19.7109375" style="6" customWidth="1"/>
    <col min="437" max="437" width="18" style="6" customWidth="1"/>
    <col min="438" max="438" width="19.140625" style="6" customWidth="1"/>
    <col min="439" max="439" width="19" style="6" customWidth="1"/>
    <col min="440" max="440" width="19.28515625" style="6" customWidth="1"/>
    <col min="441" max="442" width="19" style="6" customWidth="1"/>
    <col min="443" max="443" width="18.28515625" style="6" customWidth="1"/>
    <col min="444" max="444" width="19.5703125" style="6" customWidth="1"/>
    <col min="445" max="445" width="20.28515625" style="6" customWidth="1"/>
    <col min="446" max="446" width="8.7109375" style="6" customWidth="1"/>
    <col min="447" max="447" width="20.42578125" style="6" customWidth="1"/>
    <col min="448" max="448" width="18.28515625" style="6" customWidth="1"/>
    <col min="449" max="449" width="17.85546875" style="6" customWidth="1"/>
    <col min="450" max="450" width="19.28515625" style="6" customWidth="1"/>
    <col min="451" max="451" width="18.140625" style="6" customWidth="1"/>
    <col min="452" max="452" width="17.85546875" style="6" customWidth="1"/>
    <col min="453" max="453" width="18" style="6" customWidth="1"/>
    <col min="454" max="454" width="18.28515625" style="6" customWidth="1"/>
    <col min="455" max="455" width="19.42578125" style="6" customWidth="1"/>
    <col min="456" max="456" width="17.85546875" style="6" customWidth="1"/>
    <col min="457" max="457" width="18.85546875" style="6" customWidth="1"/>
    <col min="458" max="458" width="17.85546875" style="6" customWidth="1"/>
    <col min="459" max="459" width="18.5703125" style="6" customWidth="1"/>
    <col min="460" max="460" width="19.140625" style="6" customWidth="1"/>
    <col min="461" max="461" width="19.42578125" style="6" customWidth="1"/>
    <col min="462" max="462" width="17.7109375" style="6" customWidth="1"/>
    <col min="463" max="463" width="19.42578125" style="6" customWidth="1"/>
    <col min="464" max="464" width="19.28515625" style="6" customWidth="1"/>
    <col min="465" max="465" width="19.85546875" style="6" customWidth="1"/>
    <col min="466" max="466" width="12" style="6" customWidth="1"/>
    <col min="467" max="467" width="18.5703125" style="6" customWidth="1"/>
    <col min="468" max="468" width="17.85546875" style="6" customWidth="1"/>
    <col min="469" max="469" width="18.85546875" style="6" customWidth="1"/>
    <col min="470" max="470" width="19.140625" style="6" customWidth="1"/>
    <col min="471" max="471" width="18.85546875" style="6" customWidth="1"/>
    <col min="472" max="473" width="17.7109375" style="6" customWidth="1"/>
    <col min="474" max="474" width="19.42578125" style="6" customWidth="1"/>
    <col min="475" max="475" width="18.5703125" style="6" customWidth="1"/>
    <col min="476" max="476" width="17.140625" style="6" customWidth="1"/>
    <col min="477" max="477" width="17" style="6" customWidth="1"/>
    <col min="478" max="478" width="16.28515625" style="6" customWidth="1"/>
    <col min="479" max="479" width="17.85546875" style="6" customWidth="1"/>
    <col min="480" max="480" width="18.5703125" style="6" customWidth="1"/>
    <col min="481" max="481" width="17.42578125" style="6" customWidth="1"/>
    <col min="482" max="482" width="16.5703125" style="6" customWidth="1"/>
    <col min="483" max="483" width="17.28515625" style="6" customWidth="1"/>
    <col min="484" max="484" width="19" style="6" customWidth="1"/>
    <col min="485" max="485" width="18.5703125" style="6" customWidth="1"/>
    <col min="486" max="486" width="9.28515625" style="6" customWidth="1"/>
    <col min="487" max="487" width="18.7109375" style="6" customWidth="1"/>
    <col min="488" max="494" width="18.5703125" style="6" customWidth="1"/>
    <col min="495" max="495" width="20.140625" style="6" customWidth="1"/>
    <col min="496" max="496" width="18.5703125" style="6" customWidth="1"/>
    <col min="497" max="498" width="0" style="6" hidden="1" customWidth="1"/>
    <col min="499" max="499" width="18.5703125" style="6" customWidth="1"/>
    <col min="500" max="503" width="0" style="6" hidden="1" customWidth="1"/>
    <col min="504" max="504" width="15.5703125" style="6" customWidth="1"/>
    <col min="505" max="505" width="19" style="6" customWidth="1"/>
    <col min="506" max="506" width="18.5703125" style="6" customWidth="1"/>
    <col min="507" max="625" width="11.42578125" style="6"/>
    <col min="626" max="626" width="44" style="6" customWidth="1"/>
    <col min="627" max="629" width="0" style="6" hidden="1" customWidth="1"/>
    <col min="630" max="630" width="12.7109375" style="6" customWidth="1"/>
    <col min="631" max="631" width="10.28515625" style="6" bestFit="1" customWidth="1"/>
    <col min="632" max="632" width="10.28515625" style="6" customWidth="1"/>
    <col min="633" max="633" width="9.7109375" style="6" customWidth="1"/>
    <col min="634" max="634" width="12.7109375" style="6" customWidth="1"/>
    <col min="635" max="635" width="12" style="6" customWidth="1"/>
    <col min="636" max="636" width="11.5703125" style="6" customWidth="1"/>
    <col min="637" max="637" width="10" style="6" customWidth="1"/>
    <col min="638" max="638" width="9" style="6" customWidth="1"/>
    <col min="639" max="639" width="8.7109375" style="6" customWidth="1"/>
    <col min="640" max="640" width="9.5703125" style="6" customWidth="1"/>
    <col min="641" max="641" width="17.140625" style="6" customWidth="1"/>
    <col min="642" max="642" width="8.85546875" style="6" customWidth="1"/>
    <col min="643" max="661" width="18.7109375" style="6" customWidth="1"/>
    <col min="662" max="662" width="17.5703125" style="6" customWidth="1"/>
    <col min="663" max="663" width="21.5703125" style="6" customWidth="1"/>
    <col min="664" max="664" width="18.42578125" style="6" customWidth="1"/>
    <col min="665" max="665" width="20.140625" style="6" customWidth="1"/>
    <col min="666" max="666" width="18.7109375" style="6" customWidth="1"/>
    <col min="667" max="667" width="17.7109375" style="6" customWidth="1"/>
    <col min="668" max="669" width="18.85546875" style="6" customWidth="1"/>
    <col min="670" max="670" width="18.28515625" style="6" customWidth="1"/>
    <col min="671" max="671" width="20.140625" style="6" customWidth="1"/>
    <col min="672" max="672" width="17.140625" style="6" customWidth="1"/>
    <col min="673" max="673" width="17.42578125" style="6" customWidth="1"/>
    <col min="674" max="674" width="16.28515625" style="6" customWidth="1"/>
    <col min="675" max="675" width="19.28515625" style="6" customWidth="1"/>
    <col min="676" max="676" width="18" style="6" customWidth="1"/>
    <col min="677" max="677" width="18.28515625" style="6" customWidth="1"/>
    <col min="678" max="678" width="17.140625" style="6" customWidth="1"/>
    <col min="679" max="679" width="16.7109375" style="6" customWidth="1"/>
    <col min="680" max="680" width="17.7109375" style="6" customWidth="1"/>
    <col min="681" max="681" width="19.28515625" style="6" customWidth="1"/>
    <col min="682" max="682" width="17.28515625" style="6" customWidth="1"/>
    <col min="683" max="683" width="17.7109375" style="6" customWidth="1"/>
    <col min="684" max="684" width="19.7109375" style="6" customWidth="1"/>
    <col min="685" max="685" width="17.28515625" style="6" customWidth="1"/>
    <col min="686" max="686" width="18.28515625" style="6" customWidth="1"/>
    <col min="687" max="687" width="20.85546875" style="6" customWidth="1"/>
    <col min="688" max="688" width="17.28515625" style="6" customWidth="1"/>
    <col min="689" max="689" width="17.5703125" style="6" customWidth="1"/>
    <col min="690" max="690" width="18.42578125" style="6" customWidth="1"/>
    <col min="691" max="691" width="18.85546875" style="6" customWidth="1"/>
    <col min="692" max="692" width="19.7109375" style="6" customWidth="1"/>
    <col min="693" max="693" width="18" style="6" customWidth="1"/>
    <col min="694" max="694" width="19.140625" style="6" customWidth="1"/>
    <col min="695" max="695" width="19" style="6" customWidth="1"/>
    <col min="696" max="696" width="19.28515625" style="6" customWidth="1"/>
    <col min="697" max="698" width="19" style="6" customWidth="1"/>
    <col min="699" max="699" width="18.28515625" style="6" customWidth="1"/>
    <col min="700" max="700" width="19.5703125" style="6" customWidth="1"/>
    <col min="701" max="701" width="20.28515625" style="6" customWidth="1"/>
    <col min="702" max="702" width="8.7109375" style="6" customWidth="1"/>
    <col min="703" max="703" width="20.42578125" style="6" customWidth="1"/>
    <col min="704" max="704" width="18.28515625" style="6" customWidth="1"/>
    <col min="705" max="705" width="17.85546875" style="6" customWidth="1"/>
    <col min="706" max="706" width="19.28515625" style="6" customWidth="1"/>
    <col min="707" max="707" width="18.140625" style="6" customWidth="1"/>
    <col min="708" max="708" width="17.85546875" style="6" customWidth="1"/>
    <col min="709" max="709" width="18" style="6" customWidth="1"/>
    <col min="710" max="710" width="18.28515625" style="6" customWidth="1"/>
    <col min="711" max="711" width="19.42578125" style="6" customWidth="1"/>
    <col min="712" max="712" width="17.85546875" style="6" customWidth="1"/>
    <col min="713" max="713" width="18.85546875" style="6" customWidth="1"/>
    <col min="714" max="714" width="17.85546875" style="6" customWidth="1"/>
    <col min="715" max="715" width="18.5703125" style="6" customWidth="1"/>
    <col min="716" max="716" width="19.140625" style="6" customWidth="1"/>
    <col min="717" max="717" width="19.42578125" style="6" customWidth="1"/>
    <col min="718" max="718" width="17.7109375" style="6" customWidth="1"/>
    <col min="719" max="719" width="19.42578125" style="6" customWidth="1"/>
    <col min="720" max="720" width="19.28515625" style="6" customWidth="1"/>
    <col min="721" max="721" width="19.85546875" style="6" customWidth="1"/>
    <col min="722" max="722" width="12" style="6" customWidth="1"/>
    <col min="723" max="723" width="18.5703125" style="6" customWidth="1"/>
    <col min="724" max="724" width="17.85546875" style="6" customWidth="1"/>
    <col min="725" max="725" width="18.85546875" style="6" customWidth="1"/>
    <col min="726" max="726" width="19.140625" style="6" customWidth="1"/>
    <col min="727" max="727" width="18.85546875" style="6" customWidth="1"/>
    <col min="728" max="729" width="17.7109375" style="6" customWidth="1"/>
    <col min="730" max="730" width="19.42578125" style="6" customWidth="1"/>
    <col min="731" max="731" width="18.5703125" style="6" customWidth="1"/>
    <col min="732" max="732" width="17.140625" style="6" customWidth="1"/>
    <col min="733" max="733" width="17" style="6" customWidth="1"/>
    <col min="734" max="734" width="16.28515625" style="6" customWidth="1"/>
    <col min="735" max="735" width="17.85546875" style="6" customWidth="1"/>
    <col min="736" max="736" width="18.5703125" style="6" customWidth="1"/>
    <col min="737" max="737" width="17.42578125" style="6" customWidth="1"/>
    <col min="738" max="738" width="16.5703125" style="6" customWidth="1"/>
    <col min="739" max="739" width="17.28515625" style="6" customWidth="1"/>
    <col min="740" max="740" width="19" style="6" customWidth="1"/>
    <col min="741" max="741" width="18.5703125" style="6" customWidth="1"/>
    <col min="742" max="742" width="9.28515625" style="6" customWidth="1"/>
    <col min="743" max="743" width="18.7109375" style="6" customWidth="1"/>
    <col min="744" max="750" width="18.5703125" style="6" customWidth="1"/>
    <col min="751" max="751" width="20.140625" style="6" customWidth="1"/>
    <col min="752" max="752" width="18.5703125" style="6" customWidth="1"/>
    <col min="753" max="754" width="0" style="6" hidden="1" customWidth="1"/>
    <col min="755" max="755" width="18.5703125" style="6" customWidth="1"/>
    <col min="756" max="759" width="0" style="6" hidden="1" customWidth="1"/>
    <col min="760" max="760" width="15.5703125" style="6" customWidth="1"/>
    <col min="761" max="761" width="19" style="6" customWidth="1"/>
    <col min="762" max="762" width="18.5703125" style="6" customWidth="1"/>
    <col min="763" max="881" width="11.42578125" style="6"/>
    <col min="882" max="882" width="44" style="6" customWidth="1"/>
    <col min="883" max="885" width="0" style="6" hidden="1" customWidth="1"/>
    <col min="886" max="886" width="12.7109375" style="6" customWidth="1"/>
    <col min="887" max="887" width="10.28515625" style="6" bestFit="1" customWidth="1"/>
    <col min="888" max="888" width="10.28515625" style="6" customWidth="1"/>
    <col min="889" max="889" width="9.7109375" style="6" customWidth="1"/>
    <col min="890" max="890" width="12.7109375" style="6" customWidth="1"/>
    <col min="891" max="891" width="12" style="6" customWidth="1"/>
    <col min="892" max="892" width="11.5703125" style="6" customWidth="1"/>
    <col min="893" max="893" width="10" style="6" customWidth="1"/>
    <col min="894" max="894" width="9" style="6" customWidth="1"/>
    <col min="895" max="895" width="8.7109375" style="6" customWidth="1"/>
    <col min="896" max="896" width="9.5703125" style="6" customWidth="1"/>
    <col min="897" max="897" width="17.140625" style="6" customWidth="1"/>
    <col min="898" max="898" width="8.85546875" style="6" customWidth="1"/>
    <col min="899" max="917" width="18.7109375" style="6" customWidth="1"/>
    <col min="918" max="918" width="17.5703125" style="6" customWidth="1"/>
    <col min="919" max="919" width="21.5703125" style="6" customWidth="1"/>
    <col min="920" max="920" width="18.42578125" style="6" customWidth="1"/>
    <col min="921" max="921" width="20.140625" style="6" customWidth="1"/>
    <col min="922" max="922" width="18.7109375" style="6" customWidth="1"/>
    <col min="923" max="923" width="17.7109375" style="6" customWidth="1"/>
    <col min="924" max="925" width="18.85546875" style="6" customWidth="1"/>
    <col min="926" max="926" width="18.28515625" style="6" customWidth="1"/>
    <col min="927" max="927" width="20.140625" style="6" customWidth="1"/>
    <col min="928" max="928" width="17.140625" style="6" customWidth="1"/>
    <col min="929" max="929" width="17.42578125" style="6" customWidth="1"/>
    <col min="930" max="930" width="16.28515625" style="6" customWidth="1"/>
    <col min="931" max="931" width="19.28515625" style="6" customWidth="1"/>
    <col min="932" max="932" width="18" style="6" customWidth="1"/>
    <col min="933" max="933" width="18.28515625" style="6" customWidth="1"/>
    <col min="934" max="934" width="17.140625" style="6" customWidth="1"/>
    <col min="935" max="935" width="16.7109375" style="6" customWidth="1"/>
    <col min="936" max="936" width="17.7109375" style="6" customWidth="1"/>
    <col min="937" max="937" width="19.28515625" style="6" customWidth="1"/>
    <col min="938" max="938" width="17.28515625" style="6" customWidth="1"/>
    <col min="939" max="939" width="17.7109375" style="6" customWidth="1"/>
    <col min="940" max="940" width="19.7109375" style="6" customWidth="1"/>
    <col min="941" max="941" width="17.28515625" style="6" customWidth="1"/>
    <col min="942" max="942" width="18.28515625" style="6" customWidth="1"/>
    <col min="943" max="943" width="20.85546875" style="6" customWidth="1"/>
    <col min="944" max="944" width="17.28515625" style="6" customWidth="1"/>
    <col min="945" max="945" width="17.5703125" style="6" customWidth="1"/>
    <col min="946" max="946" width="18.42578125" style="6" customWidth="1"/>
    <col min="947" max="947" width="18.85546875" style="6" customWidth="1"/>
    <col min="948" max="948" width="19.7109375" style="6" customWidth="1"/>
    <col min="949" max="949" width="18" style="6" customWidth="1"/>
    <col min="950" max="950" width="19.140625" style="6" customWidth="1"/>
    <col min="951" max="951" width="19" style="6" customWidth="1"/>
    <col min="952" max="952" width="19.28515625" style="6" customWidth="1"/>
    <col min="953" max="954" width="19" style="6" customWidth="1"/>
    <col min="955" max="955" width="18.28515625" style="6" customWidth="1"/>
    <col min="956" max="956" width="19.5703125" style="6" customWidth="1"/>
    <col min="957" max="957" width="20.28515625" style="6" customWidth="1"/>
    <col min="958" max="958" width="8.7109375" style="6" customWidth="1"/>
    <col min="959" max="959" width="20.42578125" style="6" customWidth="1"/>
    <col min="960" max="960" width="18.28515625" style="6" customWidth="1"/>
    <col min="961" max="961" width="17.85546875" style="6" customWidth="1"/>
    <col min="962" max="962" width="19.28515625" style="6" customWidth="1"/>
    <col min="963" max="963" width="18.140625" style="6" customWidth="1"/>
    <col min="964" max="964" width="17.85546875" style="6" customWidth="1"/>
    <col min="965" max="965" width="18" style="6" customWidth="1"/>
    <col min="966" max="966" width="18.28515625" style="6" customWidth="1"/>
    <col min="967" max="967" width="19.42578125" style="6" customWidth="1"/>
    <col min="968" max="968" width="17.85546875" style="6" customWidth="1"/>
    <col min="969" max="969" width="18.85546875" style="6" customWidth="1"/>
    <col min="970" max="970" width="17.85546875" style="6" customWidth="1"/>
    <col min="971" max="971" width="18.5703125" style="6" customWidth="1"/>
    <col min="972" max="972" width="19.140625" style="6" customWidth="1"/>
    <col min="973" max="973" width="19.42578125" style="6" customWidth="1"/>
    <col min="974" max="974" width="17.7109375" style="6" customWidth="1"/>
    <col min="975" max="975" width="19.42578125" style="6" customWidth="1"/>
    <col min="976" max="976" width="19.28515625" style="6" customWidth="1"/>
    <col min="977" max="977" width="19.85546875" style="6" customWidth="1"/>
    <col min="978" max="978" width="12" style="6" customWidth="1"/>
    <col min="979" max="979" width="18.5703125" style="6" customWidth="1"/>
    <col min="980" max="980" width="17.85546875" style="6" customWidth="1"/>
    <col min="981" max="981" width="18.85546875" style="6" customWidth="1"/>
    <col min="982" max="982" width="19.140625" style="6" customWidth="1"/>
    <col min="983" max="983" width="18.85546875" style="6" customWidth="1"/>
    <col min="984" max="985" width="17.7109375" style="6" customWidth="1"/>
    <col min="986" max="986" width="19.42578125" style="6" customWidth="1"/>
    <col min="987" max="987" width="18.5703125" style="6" customWidth="1"/>
    <col min="988" max="988" width="17.140625" style="6" customWidth="1"/>
    <col min="989" max="989" width="17" style="6" customWidth="1"/>
    <col min="990" max="990" width="16.28515625" style="6" customWidth="1"/>
    <col min="991" max="991" width="17.85546875" style="6" customWidth="1"/>
    <col min="992" max="992" width="18.5703125" style="6" customWidth="1"/>
    <col min="993" max="993" width="17.42578125" style="6" customWidth="1"/>
    <col min="994" max="994" width="16.5703125" style="6" customWidth="1"/>
    <col min="995" max="995" width="17.28515625" style="6" customWidth="1"/>
    <col min="996" max="996" width="19" style="6" customWidth="1"/>
    <col min="997" max="997" width="18.5703125" style="6" customWidth="1"/>
    <col min="998" max="998" width="9.28515625" style="6" customWidth="1"/>
    <col min="999" max="999" width="18.7109375" style="6" customWidth="1"/>
    <col min="1000" max="1006" width="18.5703125" style="6" customWidth="1"/>
    <col min="1007" max="1007" width="20.140625" style="6" customWidth="1"/>
    <col min="1008" max="1008" width="18.5703125" style="6" customWidth="1"/>
    <col min="1009" max="1010" width="0" style="6" hidden="1" customWidth="1"/>
    <col min="1011" max="1011" width="18.5703125" style="6" customWidth="1"/>
    <col min="1012" max="1015" width="0" style="6" hidden="1" customWidth="1"/>
    <col min="1016" max="1016" width="15.5703125" style="6" customWidth="1"/>
    <col min="1017" max="1017" width="19" style="6" customWidth="1"/>
    <col min="1018" max="1018" width="18.5703125" style="6" customWidth="1"/>
    <col min="1019" max="1137" width="11.42578125" style="6"/>
    <col min="1138" max="1138" width="44" style="6" customWidth="1"/>
    <col min="1139" max="1141" width="0" style="6" hidden="1" customWidth="1"/>
    <col min="1142" max="1142" width="12.7109375" style="6" customWidth="1"/>
    <col min="1143" max="1143" width="10.28515625" style="6" bestFit="1" customWidth="1"/>
    <col min="1144" max="1144" width="10.28515625" style="6" customWidth="1"/>
    <col min="1145" max="1145" width="9.7109375" style="6" customWidth="1"/>
    <col min="1146" max="1146" width="12.7109375" style="6" customWidth="1"/>
    <col min="1147" max="1147" width="12" style="6" customWidth="1"/>
    <col min="1148" max="1148" width="11.5703125" style="6" customWidth="1"/>
    <col min="1149" max="1149" width="10" style="6" customWidth="1"/>
    <col min="1150" max="1150" width="9" style="6" customWidth="1"/>
    <col min="1151" max="1151" width="8.7109375" style="6" customWidth="1"/>
    <col min="1152" max="1152" width="9.5703125" style="6" customWidth="1"/>
    <col min="1153" max="1153" width="17.140625" style="6" customWidth="1"/>
    <col min="1154" max="1154" width="8.85546875" style="6" customWidth="1"/>
    <col min="1155" max="1173" width="18.7109375" style="6" customWidth="1"/>
    <col min="1174" max="1174" width="17.5703125" style="6" customWidth="1"/>
    <col min="1175" max="1175" width="21.5703125" style="6" customWidth="1"/>
    <col min="1176" max="1176" width="18.42578125" style="6" customWidth="1"/>
    <col min="1177" max="1177" width="20.140625" style="6" customWidth="1"/>
    <col min="1178" max="1178" width="18.7109375" style="6" customWidth="1"/>
    <col min="1179" max="1179" width="17.7109375" style="6" customWidth="1"/>
    <col min="1180" max="1181" width="18.85546875" style="6" customWidth="1"/>
    <col min="1182" max="1182" width="18.28515625" style="6" customWidth="1"/>
    <col min="1183" max="1183" width="20.140625" style="6" customWidth="1"/>
    <col min="1184" max="1184" width="17.140625" style="6" customWidth="1"/>
    <col min="1185" max="1185" width="17.42578125" style="6" customWidth="1"/>
    <col min="1186" max="1186" width="16.28515625" style="6" customWidth="1"/>
    <col min="1187" max="1187" width="19.28515625" style="6" customWidth="1"/>
    <col min="1188" max="1188" width="18" style="6" customWidth="1"/>
    <col min="1189" max="1189" width="18.28515625" style="6" customWidth="1"/>
    <col min="1190" max="1190" width="17.140625" style="6" customWidth="1"/>
    <col min="1191" max="1191" width="16.7109375" style="6" customWidth="1"/>
    <col min="1192" max="1192" width="17.7109375" style="6" customWidth="1"/>
    <col min="1193" max="1193" width="19.28515625" style="6" customWidth="1"/>
    <col min="1194" max="1194" width="17.28515625" style="6" customWidth="1"/>
    <col min="1195" max="1195" width="17.7109375" style="6" customWidth="1"/>
    <col min="1196" max="1196" width="19.7109375" style="6" customWidth="1"/>
    <col min="1197" max="1197" width="17.28515625" style="6" customWidth="1"/>
    <col min="1198" max="1198" width="18.28515625" style="6" customWidth="1"/>
    <col min="1199" max="1199" width="20.85546875" style="6" customWidth="1"/>
    <col min="1200" max="1200" width="17.28515625" style="6" customWidth="1"/>
    <col min="1201" max="1201" width="17.5703125" style="6" customWidth="1"/>
    <col min="1202" max="1202" width="18.42578125" style="6" customWidth="1"/>
    <col min="1203" max="1203" width="18.85546875" style="6" customWidth="1"/>
    <col min="1204" max="1204" width="19.7109375" style="6" customWidth="1"/>
    <col min="1205" max="1205" width="18" style="6" customWidth="1"/>
    <col min="1206" max="1206" width="19.140625" style="6" customWidth="1"/>
    <col min="1207" max="1207" width="19" style="6" customWidth="1"/>
    <col min="1208" max="1208" width="19.28515625" style="6" customWidth="1"/>
    <col min="1209" max="1210" width="19" style="6" customWidth="1"/>
    <col min="1211" max="1211" width="18.28515625" style="6" customWidth="1"/>
    <col min="1212" max="1212" width="19.5703125" style="6" customWidth="1"/>
    <col min="1213" max="1213" width="20.28515625" style="6" customWidth="1"/>
    <col min="1214" max="1214" width="8.7109375" style="6" customWidth="1"/>
    <col min="1215" max="1215" width="20.42578125" style="6" customWidth="1"/>
    <col min="1216" max="1216" width="18.28515625" style="6" customWidth="1"/>
    <col min="1217" max="1217" width="17.85546875" style="6" customWidth="1"/>
    <col min="1218" max="1218" width="19.28515625" style="6" customWidth="1"/>
    <col min="1219" max="1219" width="18.140625" style="6" customWidth="1"/>
    <col min="1220" max="1220" width="17.85546875" style="6" customWidth="1"/>
    <col min="1221" max="1221" width="18" style="6" customWidth="1"/>
    <col min="1222" max="1222" width="18.28515625" style="6" customWidth="1"/>
    <col min="1223" max="1223" width="19.42578125" style="6" customWidth="1"/>
    <col min="1224" max="1224" width="17.85546875" style="6" customWidth="1"/>
    <col min="1225" max="1225" width="18.85546875" style="6" customWidth="1"/>
    <col min="1226" max="1226" width="17.85546875" style="6" customWidth="1"/>
    <col min="1227" max="1227" width="18.5703125" style="6" customWidth="1"/>
    <col min="1228" max="1228" width="19.140625" style="6" customWidth="1"/>
    <col min="1229" max="1229" width="19.42578125" style="6" customWidth="1"/>
    <col min="1230" max="1230" width="17.7109375" style="6" customWidth="1"/>
    <col min="1231" max="1231" width="19.42578125" style="6" customWidth="1"/>
    <col min="1232" max="1232" width="19.28515625" style="6" customWidth="1"/>
    <col min="1233" max="1233" width="19.85546875" style="6" customWidth="1"/>
    <col min="1234" max="1234" width="12" style="6" customWidth="1"/>
    <col min="1235" max="1235" width="18.5703125" style="6" customWidth="1"/>
    <col min="1236" max="1236" width="17.85546875" style="6" customWidth="1"/>
    <col min="1237" max="1237" width="18.85546875" style="6" customWidth="1"/>
    <col min="1238" max="1238" width="19.140625" style="6" customWidth="1"/>
    <col min="1239" max="1239" width="18.85546875" style="6" customWidth="1"/>
    <col min="1240" max="1241" width="17.7109375" style="6" customWidth="1"/>
    <col min="1242" max="1242" width="19.42578125" style="6" customWidth="1"/>
    <col min="1243" max="1243" width="18.5703125" style="6" customWidth="1"/>
    <col min="1244" max="1244" width="17.140625" style="6" customWidth="1"/>
    <col min="1245" max="1245" width="17" style="6" customWidth="1"/>
    <col min="1246" max="1246" width="16.28515625" style="6" customWidth="1"/>
    <col min="1247" max="1247" width="17.85546875" style="6" customWidth="1"/>
    <col min="1248" max="1248" width="18.5703125" style="6" customWidth="1"/>
    <col min="1249" max="1249" width="17.42578125" style="6" customWidth="1"/>
    <col min="1250" max="1250" width="16.5703125" style="6" customWidth="1"/>
    <col min="1251" max="1251" width="17.28515625" style="6" customWidth="1"/>
    <col min="1252" max="1252" width="19" style="6" customWidth="1"/>
    <col min="1253" max="1253" width="18.5703125" style="6" customWidth="1"/>
    <col min="1254" max="1254" width="9.28515625" style="6" customWidth="1"/>
    <col min="1255" max="1255" width="18.7109375" style="6" customWidth="1"/>
    <col min="1256" max="1262" width="18.5703125" style="6" customWidth="1"/>
    <col min="1263" max="1263" width="20.140625" style="6" customWidth="1"/>
    <col min="1264" max="1264" width="18.5703125" style="6" customWidth="1"/>
    <col min="1265" max="1266" width="0" style="6" hidden="1" customWidth="1"/>
    <col min="1267" max="1267" width="18.5703125" style="6" customWidth="1"/>
    <col min="1268" max="1271" width="0" style="6" hidden="1" customWidth="1"/>
    <col min="1272" max="1272" width="15.5703125" style="6" customWidth="1"/>
    <col min="1273" max="1273" width="19" style="6" customWidth="1"/>
    <col min="1274" max="1274" width="18.5703125" style="6" customWidth="1"/>
    <col min="1275" max="1393" width="11.42578125" style="6"/>
    <col min="1394" max="1394" width="44" style="6" customWidth="1"/>
    <col min="1395" max="1397" width="0" style="6" hidden="1" customWidth="1"/>
    <col min="1398" max="1398" width="12.7109375" style="6" customWidth="1"/>
    <col min="1399" max="1399" width="10.28515625" style="6" bestFit="1" customWidth="1"/>
    <col min="1400" max="1400" width="10.28515625" style="6" customWidth="1"/>
    <col min="1401" max="1401" width="9.7109375" style="6" customWidth="1"/>
    <col min="1402" max="1402" width="12.7109375" style="6" customWidth="1"/>
    <col min="1403" max="1403" width="12" style="6" customWidth="1"/>
    <col min="1404" max="1404" width="11.5703125" style="6" customWidth="1"/>
    <col min="1405" max="1405" width="10" style="6" customWidth="1"/>
    <col min="1406" max="1406" width="9" style="6" customWidth="1"/>
    <col min="1407" max="1407" width="8.7109375" style="6" customWidth="1"/>
    <col min="1408" max="1408" width="9.5703125" style="6" customWidth="1"/>
    <col min="1409" max="1409" width="17.140625" style="6" customWidth="1"/>
    <col min="1410" max="1410" width="8.85546875" style="6" customWidth="1"/>
    <col min="1411" max="1429" width="18.7109375" style="6" customWidth="1"/>
    <col min="1430" max="1430" width="17.5703125" style="6" customWidth="1"/>
    <col min="1431" max="1431" width="21.5703125" style="6" customWidth="1"/>
    <col min="1432" max="1432" width="18.42578125" style="6" customWidth="1"/>
    <col min="1433" max="1433" width="20.140625" style="6" customWidth="1"/>
    <col min="1434" max="1434" width="18.7109375" style="6" customWidth="1"/>
    <col min="1435" max="1435" width="17.7109375" style="6" customWidth="1"/>
    <col min="1436" max="1437" width="18.85546875" style="6" customWidth="1"/>
    <col min="1438" max="1438" width="18.28515625" style="6" customWidth="1"/>
    <col min="1439" max="1439" width="20.140625" style="6" customWidth="1"/>
    <col min="1440" max="1440" width="17.140625" style="6" customWidth="1"/>
    <col min="1441" max="1441" width="17.42578125" style="6" customWidth="1"/>
    <col min="1442" max="1442" width="16.28515625" style="6" customWidth="1"/>
    <col min="1443" max="1443" width="19.28515625" style="6" customWidth="1"/>
    <col min="1444" max="1444" width="18" style="6" customWidth="1"/>
    <col min="1445" max="1445" width="18.28515625" style="6" customWidth="1"/>
    <col min="1446" max="1446" width="17.140625" style="6" customWidth="1"/>
    <col min="1447" max="1447" width="16.7109375" style="6" customWidth="1"/>
    <col min="1448" max="1448" width="17.7109375" style="6" customWidth="1"/>
    <col min="1449" max="1449" width="19.28515625" style="6" customWidth="1"/>
    <col min="1450" max="1450" width="17.28515625" style="6" customWidth="1"/>
    <col min="1451" max="1451" width="17.7109375" style="6" customWidth="1"/>
    <col min="1452" max="1452" width="19.7109375" style="6" customWidth="1"/>
    <col min="1453" max="1453" width="17.28515625" style="6" customWidth="1"/>
    <col min="1454" max="1454" width="18.28515625" style="6" customWidth="1"/>
    <col min="1455" max="1455" width="20.85546875" style="6" customWidth="1"/>
    <col min="1456" max="1456" width="17.28515625" style="6" customWidth="1"/>
    <col min="1457" max="1457" width="17.5703125" style="6" customWidth="1"/>
    <col min="1458" max="1458" width="18.42578125" style="6" customWidth="1"/>
    <col min="1459" max="1459" width="18.85546875" style="6" customWidth="1"/>
    <col min="1460" max="1460" width="19.7109375" style="6" customWidth="1"/>
    <col min="1461" max="1461" width="18" style="6" customWidth="1"/>
    <col min="1462" max="1462" width="19.140625" style="6" customWidth="1"/>
    <col min="1463" max="1463" width="19" style="6" customWidth="1"/>
    <col min="1464" max="1464" width="19.28515625" style="6" customWidth="1"/>
    <col min="1465" max="1466" width="19" style="6" customWidth="1"/>
    <col min="1467" max="1467" width="18.28515625" style="6" customWidth="1"/>
    <col min="1468" max="1468" width="19.5703125" style="6" customWidth="1"/>
    <col min="1469" max="1469" width="20.28515625" style="6" customWidth="1"/>
    <col min="1470" max="1470" width="8.7109375" style="6" customWidth="1"/>
    <col min="1471" max="1471" width="20.42578125" style="6" customWidth="1"/>
    <col min="1472" max="1472" width="18.28515625" style="6" customWidth="1"/>
    <col min="1473" max="1473" width="17.85546875" style="6" customWidth="1"/>
    <col min="1474" max="1474" width="19.28515625" style="6" customWidth="1"/>
    <col min="1475" max="1475" width="18.140625" style="6" customWidth="1"/>
    <col min="1476" max="1476" width="17.85546875" style="6" customWidth="1"/>
    <col min="1477" max="1477" width="18" style="6" customWidth="1"/>
    <col min="1478" max="1478" width="18.28515625" style="6" customWidth="1"/>
    <col min="1479" max="1479" width="19.42578125" style="6" customWidth="1"/>
    <col min="1480" max="1480" width="17.85546875" style="6" customWidth="1"/>
    <col min="1481" max="1481" width="18.85546875" style="6" customWidth="1"/>
    <col min="1482" max="1482" width="17.85546875" style="6" customWidth="1"/>
    <col min="1483" max="1483" width="18.5703125" style="6" customWidth="1"/>
    <col min="1484" max="1484" width="19.140625" style="6" customWidth="1"/>
    <col min="1485" max="1485" width="19.42578125" style="6" customWidth="1"/>
    <col min="1486" max="1486" width="17.7109375" style="6" customWidth="1"/>
    <col min="1487" max="1487" width="19.42578125" style="6" customWidth="1"/>
    <col min="1488" max="1488" width="19.28515625" style="6" customWidth="1"/>
    <col min="1489" max="1489" width="19.85546875" style="6" customWidth="1"/>
    <col min="1490" max="1490" width="12" style="6" customWidth="1"/>
    <col min="1491" max="1491" width="18.5703125" style="6" customWidth="1"/>
    <col min="1492" max="1492" width="17.85546875" style="6" customWidth="1"/>
    <col min="1493" max="1493" width="18.85546875" style="6" customWidth="1"/>
    <col min="1494" max="1494" width="19.140625" style="6" customWidth="1"/>
    <col min="1495" max="1495" width="18.85546875" style="6" customWidth="1"/>
    <col min="1496" max="1497" width="17.7109375" style="6" customWidth="1"/>
    <col min="1498" max="1498" width="19.42578125" style="6" customWidth="1"/>
    <col min="1499" max="1499" width="18.5703125" style="6" customWidth="1"/>
    <col min="1500" max="1500" width="17.140625" style="6" customWidth="1"/>
    <col min="1501" max="1501" width="17" style="6" customWidth="1"/>
    <col min="1502" max="1502" width="16.28515625" style="6" customWidth="1"/>
    <col min="1503" max="1503" width="17.85546875" style="6" customWidth="1"/>
    <col min="1504" max="1504" width="18.5703125" style="6" customWidth="1"/>
    <col min="1505" max="1505" width="17.42578125" style="6" customWidth="1"/>
    <col min="1506" max="1506" width="16.5703125" style="6" customWidth="1"/>
    <col min="1507" max="1507" width="17.28515625" style="6" customWidth="1"/>
    <col min="1508" max="1508" width="19" style="6" customWidth="1"/>
    <col min="1509" max="1509" width="18.5703125" style="6" customWidth="1"/>
    <col min="1510" max="1510" width="9.28515625" style="6" customWidth="1"/>
    <col min="1511" max="1511" width="18.7109375" style="6" customWidth="1"/>
    <col min="1512" max="1518" width="18.5703125" style="6" customWidth="1"/>
    <col min="1519" max="1519" width="20.140625" style="6" customWidth="1"/>
    <col min="1520" max="1520" width="18.5703125" style="6" customWidth="1"/>
    <col min="1521" max="1522" width="0" style="6" hidden="1" customWidth="1"/>
    <col min="1523" max="1523" width="18.5703125" style="6" customWidth="1"/>
    <col min="1524" max="1527" width="0" style="6" hidden="1" customWidth="1"/>
    <col min="1528" max="1528" width="15.5703125" style="6" customWidth="1"/>
    <col min="1529" max="1529" width="19" style="6" customWidth="1"/>
    <col min="1530" max="1530" width="18.5703125" style="6" customWidth="1"/>
    <col min="1531" max="1649" width="11.42578125" style="6"/>
    <col min="1650" max="1650" width="44" style="6" customWidth="1"/>
    <col min="1651" max="1653" width="0" style="6" hidden="1" customWidth="1"/>
    <col min="1654" max="1654" width="12.7109375" style="6" customWidth="1"/>
    <col min="1655" max="1655" width="10.28515625" style="6" bestFit="1" customWidth="1"/>
    <col min="1656" max="1656" width="10.28515625" style="6" customWidth="1"/>
    <col min="1657" max="1657" width="9.7109375" style="6" customWidth="1"/>
    <col min="1658" max="1658" width="12.7109375" style="6" customWidth="1"/>
    <col min="1659" max="1659" width="12" style="6" customWidth="1"/>
    <col min="1660" max="1660" width="11.5703125" style="6" customWidth="1"/>
    <col min="1661" max="1661" width="10" style="6" customWidth="1"/>
    <col min="1662" max="1662" width="9" style="6" customWidth="1"/>
    <col min="1663" max="1663" width="8.7109375" style="6" customWidth="1"/>
    <col min="1664" max="1664" width="9.5703125" style="6" customWidth="1"/>
    <col min="1665" max="1665" width="17.140625" style="6" customWidth="1"/>
    <col min="1666" max="1666" width="8.85546875" style="6" customWidth="1"/>
    <col min="1667" max="1685" width="18.7109375" style="6" customWidth="1"/>
    <col min="1686" max="1686" width="17.5703125" style="6" customWidth="1"/>
    <col min="1687" max="1687" width="21.5703125" style="6" customWidth="1"/>
    <col min="1688" max="1688" width="18.42578125" style="6" customWidth="1"/>
    <col min="1689" max="1689" width="20.140625" style="6" customWidth="1"/>
    <col min="1690" max="1690" width="18.7109375" style="6" customWidth="1"/>
    <col min="1691" max="1691" width="17.7109375" style="6" customWidth="1"/>
    <col min="1692" max="1693" width="18.85546875" style="6" customWidth="1"/>
    <col min="1694" max="1694" width="18.28515625" style="6" customWidth="1"/>
    <col min="1695" max="1695" width="20.140625" style="6" customWidth="1"/>
    <col min="1696" max="1696" width="17.140625" style="6" customWidth="1"/>
    <col min="1697" max="1697" width="17.42578125" style="6" customWidth="1"/>
    <col min="1698" max="1698" width="16.28515625" style="6" customWidth="1"/>
    <col min="1699" max="1699" width="19.28515625" style="6" customWidth="1"/>
    <col min="1700" max="1700" width="18" style="6" customWidth="1"/>
    <col min="1701" max="1701" width="18.28515625" style="6" customWidth="1"/>
    <col min="1702" max="1702" width="17.140625" style="6" customWidth="1"/>
    <col min="1703" max="1703" width="16.7109375" style="6" customWidth="1"/>
    <col min="1704" max="1704" width="17.7109375" style="6" customWidth="1"/>
    <col min="1705" max="1705" width="19.28515625" style="6" customWidth="1"/>
    <col min="1706" max="1706" width="17.28515625" style="6" customWidth="1"/>
    <col min="1707" max="1707" width="17.7109375" style="6" customWidth="1"/>
    <col min="1708" max="1708" width="19.7109375" style="6" customWidth="1"/>
    <col min="1709" max="1709" width="17.28515625" style="6" customWidth="1"/>
    <col min="1710" max="1710" width="18.28515625" style="6" customWidth="1"/>
    <col min="1711" max="1711" width="20.85546875" style="6" customWidth="1"/>
    <col min="1712" max="1712" width="17.28515625" style="6" customWidth="1"/>
    <col min="1713" max="1713" width="17.5703125" style="6" customWidth="1"/>
    <col min="1714" max="1714" width="18.42578125" style="6" customWidth="1"/>
    <col min="1715" max="1715" width="18.85546875" style="6" customWidth="1"/>
    <col min="1716" max="1716" width="19.7109375" style="6" customWidth="1"/>
    <col min="1717" max="1717" width="18" style="6" customWidth="1"/>
    <col min="1718" max="1718" width="19.140625" style="6" customWidth="1"/>
    <col min="1719" max="1719" width="19" style="6" customWidth="1"/>
    <col min="1720" max="1720" width="19.28515625" style="6" customWidth="1"/>
    <col min="1721" max="1722" width="19" style="6" customWidth="1"/>
    <col min="1723" max="1723" width="18.28515625" style="6" customWidth="1"/>
    <col min="1724" max="1724" width="19.5703125" style="6" customWidth="1"/>
    <col min="1725" max="1725" width="20.28515625" style="6" customWidth="1"/>
    <col min="1726" max="1726" width="8.7109375" style="6" customWidth="1"/>
    <col min="1727" max="1727" width="20.42578125" style="6" customWidth="1"/>
    <col min="1728" max="1728" width="18.28515625" style="6" customWidth="1"/>
    <col min="1729" max="1729" width="17.85546875" style="6" customWidth="1"/>
    <col min="1730" max="1730" width="19.28515625" style="6" customWidth="1"/>
    <col min="1731" max="1731" width="18.140625" style="6" customWidth="1"/>
    <col min="1732" max="1732" width="17.85546875" style="6" customWidth="1"/>
    <col min="1733" max="1733" width="18" style="6" customWidth="1"/>
    <col min="1734" max="1734" width="18.28515625" style="6" customWidth="1"/>
    <col min="1735" max="1735" width="19.42578125" style="6" customWidth="1"/>
    <col min="1736" max="1736" width="17.85546875" style="6" customWidth="1"/>
    <col min="1737" max="1737" width="18.85546875" style="6" customWidth="1"/>
    <col min="1738" max="1738" width="17.85546875" style="6" customWidth="1"/>
    <col min="1739" max="1739" width="18.5703125" style="6" customWidth="1"/>
    <col min="1740" max="1740" width="19.140625" style="6" customWidth="1"/>
    <col min="1741" max="1741" width="19.42578125" style="6" customWidth="1"/>
    <col min="1742" max="1742" width="17.7109375" style="6" customWidth="1"/>
    <col min="1743" max="1743" width="19.42578125" style="6" customWidth="1"/>
    <col min="1744" max="1744" width="19.28515625" style="6" customWidth="1"/>
    <col min="1745" max="1745" width="19.85546875" style="6" customWidth="1"/>
    <col min="1746" max="1746" width="12" style="6" customWidth="1"/>
    <col min="1747" max="1747" width="18.5703125" style="6" customWidth="1"/>
    <col min="1748" max="1748" width="17.85546875" style="6" customWidth="1"/>
    <col min="1749" max="1749" width="18.85546875" style="6" customWidth="1"/>
    <col min="1750" max="1750" width="19.140625" style="6" customWidth="1"/>
    <col min="1751" max="1751" width="18.85546875" style="6" customWidth="1"/>
    <col min="1752" max="1753" width="17.7109375" style="6" customWidth="1"/>
    <col min="1754" max="1754" width="19.42578125" style="6" customWidth="1"/>
    <col min="1755" max="1755" width="18.5703125" style="6" customWidth="1"/>
    <col min="1756" max="1756" width="17.140625" style="6" customWidth="1"/>
    <col min="1757" max="1757" width="17" style="6" customWidth="1"/>
    <col min="1758" max="1758" width="16.28515625" style="6" customWidth="1"/>
    <col min="1759" max="1759" width="17.85546875" style="6" customWidth="1"/>
    <col min="1760" max="1760" width="18.5703125" style="6" customWidth="1"/>
    <col min="1761" max="1761" width="17.42578125" style="6" customWidth="1"/>
    <col min="1762" max="1762" width="16.5703125" style="6" customWidth="1"/>
    <col min="1763" max="1763" width="17.28515625" style="6" customWidth="1"/>
    <col min="1764" max="1764" width="19" style="6" customWidth="1"/>
    <col min="1765" max="1765" width="18.5703125" style="6" customWidth="1"/>
    <col min="1766" max="1766" width="9.28515625" style="6" customWidth="1"/>
    <col min="1767" max="1767" width="18.7109375" style="6" customWidth="1"/>
    <col min="1768" max="1774" width="18.5703125" style="6" customWidth="1"/>
    <col min="1775" max="1775" width="20.140625" style="6" customWidth="1"/>
    <col min="1776" max="1776" width="18.5703125" style="6" customWidth="1"/>
    <col min="1777" max="1778" width="0" style="6" hidden="1" customWidth="1"/>
    <col min="1779" max="1779" width="18.5703125" style="6" customWidth="1"/>
    <col min="1780" max="1783" width="0" style="6" hidden="1" customWidth="1"/>
    <col min="1784" max="1784" width="15.5703125" style="6" customWidth="1"/>
    <col min="1785" max="1785" width="19" style="6" customWidth="1"/>
    <col min="1786" max="1786" width="18.5703125" style="6" customWidth="1"/>
    <col min="1787" max="1905" width="11.42578125" style="6"/>
    <col min="1906" max="1906" width="44" style="6" customWidth="1"/>
    <col min="1907" max="1909" width="0" style="6" hidden="1" customWidth="1"/>
    <col min="1910" max="1910" width="12.7109375" style="6" customWidth="1"/>
    <col min="1911" max="1911" width="10.28515625" style="6" bestFit="1" customWidth="1"/>
    <col min="1912" max="1912" width="10.28515625" style="6" customWidth="1"/>
    <col min="1913" max="1913" width="9.7109375" style="6" customWidth="1"/>
    <col min="1914" max="1914" width="12.7109375" style="6" customWidth="1"/>
    <col min="1915" max="1915" width="12" style="6" customWidth="1"/>
    <col min="1916" max="1916" width="11.5703125" style="6" customWidth="1"/>
    <col min="1917" max="1917" width="10" style="6" customWidth="1"/>
    <col min="1918" max="1918" width="9" style="6" customWidth="1"/>
    <col min="1919" max="1919" width="8.7109375" style="6" customWidth="1"/>
    <col min="1920" max="1920" width="9.5703125" style="6" customWidth="1"/>
    <col min="1921" max="1921" width="17.140625" style="6" customWidth="1"/>
    <col min="1922" max="1922" width="8.85546875" style="6" customWidth="1"/>
    <col min="1923" max="1941" width="18.7109375" style="6" customWidth="1"/>
    <col min="1942" max="1942" width="17.5703125" style="6" customWidth="1"/>
    <col min="1943" max="1943" width="21.5703125" style="6" customWidth="1"/>
    <col min="1944" max="1944" width="18.42578125" style="6" customWidth="1"/>
    <col min="1945" max="1945" width="20.140625" style="6" customWidth="1"/>
    <col min="1946" max="1946" width="18.7109375" style="6" customWidth="1"/>
    <col min="1947" max="1947" width="17.7109375" style="6" customWidth="1"/>
    <col min="1948" max="1949" width="18.85546875" style="6" customWidth="1"/>
    <col min="1950" max="1950" width="18.28515625" style="6" customWidth="1"/>
    <col min="1951" max="1951" width="20.140625" style="6" customWidth="1"/>
    <col min="1952" max="1952" width="17.140625" style="6" customWidth="1"/>
    <col min="1953" max="1953" width="17.42578125" style="6" customWidth="1"/>
    <col min="1954" max="1954" width="16.28515625" style="6" customWidth="1"/>
    <col min="1955" max="1955" width="19.28515625" style="6" customWidth="1"/>
    <col min="1956" max="1956" width="18" style="6" customWidth="1"/>
    <col min="1957" max="1957" width="18.28515625" style="6" customWidth="1"/>
    <col min="1958" max="1958" width="17.140625" style="6" customWidth="1"/>
    <col min="1959" max="1959" width="16.7109375" style="6" customWidth="1"/>
    <col min="1960" max="1960" width="17.7109375" style="6" customWidth="1"/>
    <col min="1961" max="1961" width="19.28515625" style="6" customWidth="1"/>
    <col min="1962" max="1962" width="17.28515625" style="6" customWidth="1"/>
    <col min="1963" max="1963" width="17.7109375" style="6" customWidth="1"/>
    <col min="1964" max="1964" width="19.7109375" style="6" customWidth="1"/>
    <col min="1965" max="1965" width="17.28515625" style="6" customWidth="1"/>
    <col min="1966" max="1966" width="18.28515625" style="6" customWidth="1"/>
    <col min="1967" max="1967" width="20.85546875" style="6" customWidth="1"/>
    <col min="1968" max="1968" width="17.28515625" style="6" customWidth="1"/>
    <col min="1969" max="1969" width="17.5703125" style="6" customWidth="1"/>
    <col min="1970" max="1970" width="18.42578125" style="6" customWidth="1"/>
    <col min="1971" max="1971" width="18.85546875" style="6" customWidth="1"/>
    <col min="1972" max="1972" width="19.7109375" style="6" customWidth="1"/>
    <col min="1973" max="1973" width="18" style="6" customWidth="1"/>
    <col min="1974" max="1974" width="19.140625" style="6" customWidth="1"/>
    <col min="1975" max="1975" width="19" style="6" customWidth="1"/>
    <col min="1976" max="1976" width="19.28515625" style="6" customWidth="1"/>
    <col min="1977" max="1978" width="19" style="6" customWidth="1"/>
    <col min="1979" max="1979" width="18.28515625" style="6" customWidth="1"/>
    <col min="1980" max="1980" width="19.5703125" style="6" customWidth="1"/>
    <col min="1981" max="1981" width="20.28515625" style="6" customWidth="1"/>
    <col min="1982" max="1982" width="8.7109375" style="6" customWidth="1"/>
    <col min="1983" max="1983" width="20.42578125" style="6" customWidth="1"/>
    <col min="1984" max="1984" width="18.28515625" style="6" customWidth="1"/>
    <col min="1985" max="1985" width="17.85546875" style="6" customWidth="1"/>
    <col min="1986" max="1986" width="19.28515625" style="6" customWidth="1"/>
    <col min="1987" max="1987" width="18.140625" style="6" customWidth="1"/>
    <col min="1988" max="1988" width="17.85546875" style="6" customWidth="1"/>
    <col min="1989" max="1989" width="18" style="6" customWidth="1"/>
    <col min="1990" max="1990" width="18.28515625" style="6" customWidth="1"/>
    <col min="1991" max="1991" width="19.42578125" style="6" customWidth="1"/>
    <col min="1992" max="1992" width="17.85546875" style="6" customWidth="1"/>
    <col min="1993" max="1993" width="18.85546875" style="6" customWidth="1"/>
    <col min="1994" max="1994" width="17.85546875" style="6" customWidth="1"/>
    <col min="1995" max="1995" width="18.5703125" style="6" customWidth="1"/>
    <col min="1996" max="1996" width="19.140625" style="6" customWidth="1"/>
    <col min="1997" max="1997" width="19.42578125" style="6" customWidth="1"/>
    <col min="1998" max="1998" width="17.7109375" style="6" customWidth="1"/>
    <col min="1999" max="1999" width="19.42578125" style="6" customWidth="1"/>
    <col min="2000" max="2000" width="19.28515625" style="6" customWidth="1"/>
    <col min="2001" max="2001" width="19.85546875" style="6" customWidth="1"/>
    <col min="2002" max="2002" width="12" style="6" customWidth="1"/>
    <col min="2003" max="2003" width="18.5703125" style="6" customWidth="1"/>
    <col min="2004" max="2004" width="17.85546875" style="6" customWidth="1"/>
    <col min="2005" max="2005" width="18.85546875" style="6" customWidth="1"/>
    <col min="2006" max="2006" width="19.140625" style="6" customWidth="1"/>
    <col min="2007" max="2007" width="18.85546875" style="6" customWidth="1"/>
    <col min="2008" max="2009" width="17.7109375" style="6" customWidth="1"/>
    <col min="2010" max="2010" width="19.42578125" style="6" customWidth="1"/>
    <col min="2011" max="2011" width="18.5703125" style="6" customWidth="1"/>
    <col min="2012" max="2012" width="17.140625" style="6" customWidth="1"/>
    <col min="2013" max="2013" width="17" style="6" customWidth="1"/>
    <col min="2014" max="2014" width="16.28515625" style="6" customWidth="1"/>
    <col min="2015" max="2015" width="17.85546875" style="6" customWidth="1"/>
    <col min="2016" max="2016" width="18.5703125" style="6" customWidth="1"/>
    <col min="2017" max="2017" width="17.42578125" style="6" customWidth="1"/>
    <col min="2018" max="2018" width="16.5703125" style="6" customWidth="1"/>
    <col min="2019" max="2019" width="17.28515625" style="6" customWidth="1"/>
    <col min="2020" max="2020" width="19" style="6" customWidth="1"/>
    <col min="2021" max="2021" width="18.5703125" style="6" customWidth="1"/>
    <col min="2022" max="2022" width="9.28515625" style="6" customWidth="1"/>
    <col min="2023" max="2023" width="18.7109375" style="6" customWidth="1"/>
    <col min="2024" max="2030" width="18.5703125" style="6" customWidth="1"/>
    <col min="2031" max="2031" width="20.140625" style="6" customWidth="1"/>
    <col min="2032" max="2032" width="18.5703125" style="6" customWidth="1"/>
    <col min="2033" max="2034" width="0" style="6" hidden="1" customWidth="1"/>
    <col min="2035" max="2035" width="18.5703125" style="6" customWidth="1"/>
    <col min="2036" max="2039" width="0" style="6" hidden="1" customWidth="1"/>
    <col min="2040" max="2040" width="15.5703125" style="6" customWidth="1"/>
    <col min="2041" max="2041" width="19" style="6" customWidth="1"/>
    <col min="2042" max="2042" width="18.5703125" style="6" customWidth="1"/>
    <col min="2043" max="2161" width="11.42578125" style="6"/>
    <col min="2162" max="2162" width="44" style="6" customWidth="1"/>
    <col min="2163" max="2165" width="0" style="6" hidden="1" customWidth="1"/>
    <col min="2166" max="2166" width="12.7109375" style="6" customWidth="1"/>
    <col min="2167" max="2167" width="10.28515625" style="6" bestFit="1" customWidth="1"/>
    <col min="2168" max="2168" width="10.28515625" style="6" customWidth="1"/>
    <col min="2169" max="2169" width="9.7109375" style="6" customWidth="1"/>
    <col min="2170" max="2170" width="12.7109375" style="6" customWidth="1"/>
    <col min="2171" max="2171" width="12" style="6" customWidth="1"/>
    <col min="2172" max="2172" width="11.5703125" style="6" customWidth="1"/>
    <col min="2173" max="2173" width="10" style="6" customWidth="1"/>
    <col min="2174" max="2174" width="9" style="6" customWidth="1"/>
    <col min="2175" max="2175" width="8.7109375" style="6" customWidth="1"/>
    <col min="2176" max="2176" width="9.5703125" style="6" customWidth="1"/>
    <col min="2177" max="2177" width="17.140625" style="6" customWidth="1"/>
    <col min="2178" max="2178" width="8.85546875" style="6" customWidth="1"/>
    <col min="2179" max="2197" width="18.7109375" style="6" customWidth="1"/>
    <col min="2198" max="2198" width="17.5703125" style="6" customWidth="1"/>
    <col min="2199" max="2199" width="21.5703125" style="6" customWidth="1"/>
    <col min="2200" max="2200" width="18.42578125" style="6" customWidth="1"/>
    <col min="2201" max="2201" width="20.140625" style="6" customWidth="1"/>
    <col min="2202" max="2202" width="18.7109375" style="6" customWidth="1"/>
    <col min="2203" max="2203" width="17.7109375" style="6" customWidth="1"/>
    <col min="2204" max="2205" width="18.85546875" style="6" customWidth="1"/>
    <col min="2206" max="2206" width="18.28515625" style="6" customWidth="1"/>
    <col min="2207" max="2207" width="20.140625" style="6" customWidth="1"/>
    <col min="2208" max="2208" width="17.140625" style="6" customWidth="1"/>
    <col min="2209" max="2209" width="17.42578125" style="6" customWidth="1"/>
    <col min="2210" max="2210" width="16.28515625" style="6" customWidth="1"/>
    <col min="2211" max="2211" width="19.28515625" style="6" customWidth="1"/>
    <col min="2212" max="2212" width="18" style="6" customWidth="1"/>
    <col min="2213" max="2213" width="18.28515625" style="6" customWidth="1"/>
    <col min="2214" max="2214" width="17.140625" style="6" customWidth="1"/>
    <col min="2215" max="2215" width="16.7109375" style="6" customWidth="1"/>
    <col min="2216" max="2216" width="17.7109375" style="6" customWidth="1"/>
    <col min="2217" max="2217" width="19.28515625" style="6" customWidth="1"/>
    <col min="2218" max="2218" width="17.28515625" style="6" customWidth="1"/>
    <col min="2219" max="2219" width="17.7109375" style="6" customWidth="1"/>
    <col min="2220" max="2220" width="19.7109375" style="6" customWidth="1"/>
    <col min="2221" max="2221" width="17.28515625" style="6" customWidth="1"/>
    <col min="2222" max="2222" width="18.28515625" style="6" customWidth="1"/>
    <col min="2223" max="2223" width="20.85546875" style="6" customWidth="1"/>
    <col min="2224" max="2224" width="17.28515625" style="6" customWidth="1"/>
    <col min="2225" max="2225" width="17.5703125" style="6" customWidth="1"/>
    <col min="2226" max="2226" width="18.42578125" style="6" customWidth="1"/>
    <col min="2227" max="2227" width="18.85546875" style="6" customWidth="1"/>
    <col min="2228" max="2228" width="19.7109375" style="6" customWidth="1"/>
    <col min="2229" max="2229" width="18" style="6" customWidth="1"/>
    <col min="2230" max="2230" width="19.140625" style="6" customWidth="1"/>
    <col min="2231" max="2231" width="19" style="6" customWidth="1"/>
    <col min="2232" max="2232" width="19.28515625" style="6" customWidth="1"/>
    <col min="2233" max="2234" width="19" style="6" customWidth="1"/>
    <col min="2235" max="2235" width="18.28515625" style="6" customWidth="1"/>
    <col min="2236" max="2236" width="19.5703125" style="6" customWidth="1"/>
    <col min="2237" max="2237" width="20.28515625" style="6" customWidth="1"/>
    <col min="2238" max="2238" width="8.7109375" style="6" customWidth="1"/>
    <col min="2239" max="2239" width="20.42578125" style="6" customWidth="1"/>
    <col min="2240" max="2240" width="18.28515625" style="6" customWidth="1"/>
    <col min="2241" max="2241" width="17.85546875" style="6" customWidth="1"/>
    <col min="2242" max="2242" width="19.28515625" style="6" customWidth="1"/>
    <col min="2243" max="2243" width="18.140625" style="6" customWidth="1"/>
    <col min="2244" max="2244" width="17.85546875" style="6" customWidth="1"/>
    <col min="2245" max="2245" width="18" style="6" customWidth="1"/>
    <col min="2246" max="2246" width="18.28515625" style="6" customWidth="1"/>
    <col min="2247" max="2247" width="19.42578125" style="6" customWidth="1"/>
    <col min="2248" max="2248" width="17.85546875" style="6" customWidth="1"/>
    <col min="2249" max="2249" width="18.85546875" style="6" customWidth="1"/>
    <col min="2250" max="2250" width="17.85546875" style="6" customWidth="1"/>
    <col min="2251" max="2251" width="18.5703125" style="6" customWidth="1"/>
    <col min="2252" max="2252" width="19.140625" style="6" customWidth="1"/>
    <col min="2253" max="2253" width="19.42578125" style="6" customWidth="1"/>
    <col min="2254" max="2254" width="17.7109375" style="6" customWidth="1"/>
    <col min="2255" max="2255" width="19.42578125" style="6" customWidth="1"/>
    <col min="2256" max="2256" width="19.28515625" style="6" customWidth="1"/>
    <col min="2257" max="2257" width="19.85546875" style="6" customWidth="1"/>
    <col min="2258" max="2258" width="12" style="6" customWidth="1"/>
    <col min="2259" max="2259" width="18.5703125" style="6" customWidth="1"/>
    <col min="2260" max="2260" width="17.85546875" style="6" customWidth="1"/>
    <col min="2261" max="2261" width="18.85546875" style="6" customWidth="1"/>
    <col min="2262" max="2262" width="19.140625" style="6" customWidth="1"/>
    <col min="2263" max="2263" width="18.85546875" style="6" customWidth="1"/>
    <col min="2264" max="2265" width="17.7109375" style="6" customWidth="1"/>
    <col min="2266" max="2266" width="19.42578125" style="6" customWidth="1"/>
    <col min="2267" max="2267" width="18.5703125" style="6" customWidth="1"/>
    <col min="2268" max="2268" width="17.140625" style="6" customWidth="1"/>
    <col min="2269" max="2269" width="17" style="6" customWidth="1"/>
    <col min="2270" max="2270" width="16.28515625" style="6" customWidth="1"/>
    <col min="2271" max="2271" width="17.85546875" style="6" customWidth="1"/>
    <col min="2272" max="2272" width="18.5703125" style="6" customWidth="1"/>
    <col min="2273" max="2273" width="17.42578125" style="6" customWidth="1"/>
    <col min="2274" max="2274" width="16.5703125" style="6" customWidth="1"/>
    <col min="2275" max="2275" width="17.28515625" style="6" customWidth="1"/>
    <col min="2276" max="2276" width="19" style="6" customWidth="1"/>
    <col min="2277" max="2277" width="18.5703125" style="6" customWidth="1"/>
    <col min="2278" max="2278" width="9.28515625" style="6" customWidth="1"/>
    <col min="2279" max="2279" width="18.7109375" style="6" customWidth="1"/>
    <col min="2280" max="2286" width="18.5703125" style="6" customWidth="1"/>
    <col min="2287" max="2287" width="20.140625" style="6" customWidth="1"/>
    <col min="2288" max="2288" width="18.5703125" style="6" customWidth="1"/>
    <col min="2289" max="2290" width="0" style="6" hidden="1" customWidth="1"/>
    <col min="2291" max="2291" width="18.5703125" style="6" customWidth="1"/>
    <col min="2292" max="2295" width="0" style="6" hidden="1" customWidth="1"/>
    <col min="2296" max="2296" width="15.5703125" style="6" customWidth="1"/>
    <col min="2297" max="2297" width="19" style="6" customWidth="1"/>
    <col min="2298" max="2298" width="18.5703125" style="6" customWidth="1"/>
    <col min="2299" max="2417" width="11.42578125" style="6"/>
    <col min="2418" max="2418" width="44" style="6" customWidth="1"/>
    <col min="2419" max="2421" width="0" style="6" hidden="1" customWidth="1"/>
    <col min="2422" max="2422" width="12.7109375" style="6" customWidth="1"/>
    <col min="2423" max="2423" width="10.28515625" style="6" bestFit="1" customWidth="1"/>
    <col min="2424" max="2424" width="10.28515625" style="6" customWidth="1"/>
    <col min="2425" max="2425" width="9.7109375" style="6" customWidth="1"/>
    <col min="2426" max="2426" width="12.7109375" style="6" customWidth="1"/>
    <col min="2427" max="2427" width="12" style="6" customWidth="1"/>
    <col min="2428" max="2428" width="11.5703125" style="6" customWidth="1"/>
    <col min="2429" max="2429" width="10" style="6" customWidth="1"/>
    <col min="2430" max="2430" width="9" style="6" customWidth="1"/>
    <col min="2431" max="2431" width="8.7109375" style="6" customWidth="1"/>
    <col min="2432" max="2432" width="9.5703125" style="6" customWidth="1"/>
    <col min="2433" max="2433" width="17.140625" style="6" customWidth="1"/>
    <col min="2434" max="2434" width="8.85546875" style="6" customWidth="1"/>
    <col min="2435" max="2453" width="18.7109375" style="6" customWidth="1"/>
    <col min="2454" max="2454" width="17.5703125" style="6" customWidth="1"/>
    <col min="2455" max="2455" width="21.5703125" style="6" customWidth="1"/>
    <col min="2456" max="2456" width="18.42578125" style="6" customWidth="1"/>
    <col min="2457" max="2457" width="20.140625" style="6" customWidth="1"/>
    <col min="2458" max="2458" width="18.7109375" style="6" customWidth="1"/>
    <col min="2459" max="2459" width="17.7109375" style="6" customWidth="1"/>
    <col min="2460" max="2461" width="18.85546875" style="6" customWidth="1"/>
    <col min="2462" max="2462" width="18.28515625" style="6" customWidth="1"/>
    <col min="2463" max="2463" width="20.140625" style="6" customWidth="1"/>
    <col min="2464" max="2464" width="17.140625" style="6" customWidth="1"/>
    <col min="2465" max="2465" width="17.42578125" style="6" customWidth="1"/>
    <col min="2466" max="2466" width="16.28515625" style="6" customWidth="1"/>
    <col min="2467" max="2467" width="19.28515625" style="6" customWidth="1"/>
    <col min="2468" max="2468" width="18" style="6" customWidth="1"/>
    <col min="2469" max="2469" width="18.28515625" style="6" customWidth="1"/>
    <col min="2470" max="2470" width="17.140625" style="6" customWidth="1"/>
    <col min="2471" max="2471" width="16.7109375" style="6" customWidth="1"/>
    <col min="2472" max="2472" width="17.7109375" style="6" customWidth="1"/>
    <col min="2473" max="2473" width="19.28515625" style="6" customWidth="1"/>
    <col min="2474" max="2474" width="17.28515625" style="6" customWidth="1"/>
    <col min="2475" max="2475" width="17.7109375" style="6" customWidth="1"/>
    <col min="2476" max="2476" width="19.7109375" style="6" customWidth="1"/>
    <col min="2477" max="2477" width="17.28515625" style="6" customWidth="1"/>
    <col min="2478" max="2478" width="18.28515625" style="6" customWidth="1"/>
    <col min="2479" max="2479" width="20.85546875" style="6" customWidth="1"/>
    <col min="2480" max="2480" width="17.28515625" style="6" customWidth="1"/>
    <col min="2481" max="2481" width="17.5703125" style="6" customWidth="1"/>
    <col min="2482" max="2482" width="18.42578125" style="6" customWidth="1"/>
    <col min="2483" max="2483" width="18.85546875" style="6" customWidth="1"/>
    <col min="2484" max="2484" width="19.7109375" style="6" customWidth="1"/>
    <col min="2485" max="2485" width="18" style="6" customWidth="1"/>
    <col min="2486" max="2486" width="19.140625" style="6" customWidth="1"/>
    <col min="2487" max="2487" width="19" style="6" customWidth="1"/>
    <col min="2488" max="2488" width="19.28515625" style="6" customWidth="1"/>
    <col min="2489" max="2490" width="19" style="6" customWidth="1"/>
    <col min="2491" max="2491" width="18.28515625" style="6" customWidth="1"/>
    <col min="2492" max="2492" width="19.5703125" style="6" customWidth="1"/>
    <col min="2493" max="2493" width="20.28515625" style="6" customWidth="1"/>
    <col min="2494" max="2494" width="8.7109375" style="6" customWidth="1"/>
    <col min="2495" max="2495" width="20.42578125" style="6" customWidth="1"/>
    <col min="2496" max="2496" width="18.28515625" style="6" customWidth="1"/>
    <col min="2497" max="2497" width="17.85546875" style="6" customWidth="1"/>
    <col min="2498" max="2498" width="19.28515625" style="6" customWidth="1"/>
    <col min="2499" max="2499" width="18.140625" style="6" customWidth="1"/>
    <col min="2500" max="2500" width="17.85546875" style="6" customWidth="1"/>
    <col min="2501" max="2501" width="18" style="6" customWidth="1"/>
    <col min="2502" max="2502" width="18.28515625" style="6" customWidth="1"/>
    <col min="2503" max="2503" width="19.42578125" style="6" customWidth="1"/>
    <col min="2504" max="2504" width="17.85546875" style="6" customWidth="1"/>
    <col min="2505" max="2505" width="18.85546875" style="6" customWidth="1"/>
    <col min="2506" max="2506" width="17.85546875" style="6" customWidth="1"/>
    <col min="2507" max="2507" width="18.5703125" style="6" customWidth="1"/>
    <col min="2508" max="2508" width="19.140625" style="6" customWidth="1"/>
    <col min="2509" max="2509" width="19.42578125" style="6" customWidth="1"/>
    <col min="2510" max="2510" width="17.7109375" style="6" customWidth="1"/>
    <col min="2511" max="2511" width="19.42578125" style="6" customWidth="1"/>
    <col min="2512" max="2512" width="19.28515625" style="6" customWidth="1"/>
    <col min="2513" max="2513" width="19.85546875" style="6" customWidth="1"/>
    <col min="2514" max="2514" width="12" style="6" customWidth="1"/>
    <col min="2515" max="2515" width="18.5703125" style="6" customWidth="1"/>
    <col min="2516" max="2516" width="17.85546875" style="6" customWidth="1"/>
    <col min="2517" max="2517" width="18.85546875" style="6" customWidth="1"/>
    <col min="2518" max="2518" width="19.140625" style="6" customWidth="1"/>
    <col min="2519" max="2519" width="18.85546875" style="6" customWidth="1"/>
    <col min="2520" max="2521" width="17.7109375" style="6" customWidth="1"/>
    <col min="2522" max="2522" width="19.42578125" style="6" customWidth="1"/>
    <col min="2523" max="2523" width="18.5703125" style="6" customWidth="1"/>
    <col min="2524" max="2524" width="17.140625" style="6" customWidth="1"/>
    <col min="2525" max="2525" width="17" style="6" customWidth="1"/>
    <col min="2526" max="2526" width="16.28515625" style="6" customWidth="1"/>
    <col min="2527" max="2527" width="17.85546875" style="6" customWidth="1"/>
    <col min="2528" max="2528" width="18.5703125" style="6" customWidth="1"/>
    <col min="2529" max="2529" width="17.42578125" style="6" customWidth="1"/>
    <col min="2530" max="2530" width="16.5703125" style="6" customWidth="1"/>
    <col min="2531" max="2531" width="17.28515625" style="6" customWidth="1"/>
    <col min="2532" max="2532" width="19" style="6" customWidth="1"/>
    <col min="2533" max="2533" width="18.5703125" style="6" customWidth="1"/>
    <col min="2534" max="2534" width="9.28515625" style="6" customWidth="1"/>
    <col min="2535" max="2535" width="18.7109375" style="6" customWidth="1"/>
    <col min="2536" max="2542" width="18.5703125" style="6" customWidth="1"/>
    <col min="2543" max="2543" width="20.140625" style="6" customWidth="1"/>
    <col min="2544" max="2544" width="18.5703125" style="6" customWidth="1"/>
    <col min="2545" max="2546" width="0" style="6" hidden="1" customWidth="1"/>
    <col min="2547" max="2547" width="18.5703125" style="6" customWidth="1"/>
    <col min="2548" max="2551" width="0" style="6" hidden="1" customWidth="1"/>
    <col min="2552" max="2552" width="15.5703125" style="6" customWidth="1"/>
    <col min="2553" max="2553" width="19" style="6" customWidth="1"/>
    <col min="2554" max="2554" width="18.5703125" style="6" customWidth="1"/>
    <col min="2555" max="2673" width="11.42578125" style="6"/>
    <col min="2674" max="2674" width="44" style="6" customWidth="1"/>
    <col min="2675" max="2677" width="0" style="6" hidden="1" customWidth="1"/>
    <col min="2678" max="2678" width="12.7109375" style="6" customWidth="1"/>
    <col min="2679" max="2679" width="10.28515625" style="6" bestFit="1" customWidth="1"/>
    <col min="2680" max="2680" width="10.28515625" style="6" customWidth="1"/>
    <col min="2681" max="2681" width="9.7109375" style="6" customWidth="1"/>
    <col min="2682" max="2682" width="12.7109375" style="6" customWidth="1"/>
    <col min="2683" max="2683" width="12" style="6" customWidth="1"/>
    <col min="2684" max="2684" width="11.5703125" style="6" customWidth="1"/>
    <col min="2685" max="2685" width="10" style="6" customWidth="1"/>
    <col min="2686" max="2686" width="9" style="6" customWidth="1"/>
    <col min="2687" max="2687" width="8.7109375" style="6" customWidth="1"/>
    <col min="2688" max="2688" width="9.5703125" style="6" customWidth="1"/>
    <col min="2689" max="2689" width="17.140625" style="6" customWidth="1"/>
    <col min="2690" max="2690" width="8.85546875" style="6" customWidth="1"/>
    <col min="2691" max="2709" width="18.7109375" style="6" customWidth="1"/>
    <col min="2710" max="2710" width="17.5703125" style="6" customWidth="1"/>
    <col min="2711" max="2711" width="21.5703125" style="6" customWidth="1"/>
    <col min="2712" max="2712" width="18.42578125" style="6" customWidth="1"/>
    <col min="2713" max="2713" width="20.140625" style="6" customWidth="1"/>
    <col min="2714" max="2714" width="18.7109375" style="6" customWidth="1"/>
    <col min="2715" max="2715" width="17.7109375" style="6" customWidth="1"/>
    <col min="2716" max="2717" width="18.85546875" style="6" customWidth="1"/>
    <col min="2718" max="2718" width="18.28515625" style="6" customWidth="1"/>
    <col min="2719" max="2719" width="20.140625" style="6" customWidth="1"/>
    <col min="2720" max="2720" width="17.140625" style="6" customWidth="1"/>
    <col min="2721" max="2721" width="17.42578125" style="6" customWidth="1"/>
    <col min="2722" max="2722" width="16.28515625" style="6" customWidth="1"/>
    <col min="2723" max="2723" width="19.28515625" style="6" customWidth="1"/>
    <col min="2724" max="2724" width="18" style="6" customWidth="1"/>
    <col min="2725" max="2725" width="18.28515625" style="6" customWidth="1"/>
    <col min="2726" max="2726" width="17.140625" style="6" customWidth="1"/>
    <col min="2727" max="2727" width="16.7109375" style="6" customWidth="1"/>
    <col min="2728" max="2728" width="17.7109375" style="6" customWidth="1"/>
    <col min="2729" max="2729" width="19.28515625" style="6" customWidth="1"/>
    <col min="2730" max="2730" width="17.28515625" style="6" customWidth="1"/>
    <col min="2731" max="2731" width="17.7109375" style="6" customWidth="1"/>
    <col min="2732" max="2732" width="19.7109375" style="6" customWidth="1"/>
    <col min="2733" max="2733" width="17.28515625" style="6" customWidth="1"/>
    <col min="2734" max="2734" width="18.28515625" style="6" customWidth="1"/>
    <col min="2735" max="2735" width="20.85546875" style="6" customWidth="1"/>
    <col min="2736" max="2736" width="17.28515625" style="6" customWidth="1"/>
    <col min="2737" max="2737" width="17.5703125" style="6" customWidth="1"/>
    <col min="2738" max="2738" width="18.42578125" style="6" customWidth="1"/>
    <col min="2739" max="2739" width="18.85546875" style="6" customWidth="1"/>
    <col min="2740" max="2740" width="19.7109375" style="6" customWidth="1"/>
    <col min="2741" max="2741" width="18" style="6" customWidth="1"/>
    <col min="2742" max="2742" width="19.140625" style="6" customWidth="1"/>
    <col min="2743" max="2743" width="19" style="6" customWidth="1"/>
    <col min="2744" max="2744" width="19.28515625" style="6" customWidth="1"/>
    <col min="2745" max="2746" width="19" style="6" customWidth="1"/>
    <col min="2747" max="2747" width="18.28515625" style="6" customWidth="1"/>
    <col min="2748" max="2748" width="19.5703125" style="6" customWidth="1"/>
    <col min="2749" max="2749" width="20.28515625" style="6" customWidth="1"/>
    <col min="2750" max="2750" width="8.7109375" style="6" customWidth="1"/>
    <col min="2751" max="2751" width="20.42578125" style="6" customWidth="1"/>
    <col min="2752" max="2752" width="18.28515625" style="6" customWidth="1"/>
    <col min="2753" max="2753" width="17.85546875" style="6" customWidth="1"/>
    <col min="2754" max="2754" width="19.28515625" style="6" customWidth="1"/>
    <col min="2755" max="2755" width="18.140625" style="6" customWidth="1"/>
    <col min="2756" max="2756" width="17.85546875" style="6" customWidth="1"/>
    <col min="2757" max="2757" width="18" style="6" customWidth="1"/>
    <col min="2758" max="2758" width="18.28515625" style="6" customWidth="1"/>
    <col min="2759" max="2759" width="19.42578125" style="6" customWidth="1"/>
    <col min="2760" max="2760" width="17.85546875" style="6" customWidth="1"/>
    <col min="2761" max="2761" width="18.85546875" style="6" customWidth="1"/>
    <col min="2762" max="2762" width="17.85546875" style="6" customWidth="1"/>
    <col min="2763" max="2763" width="18.5703125" style="6" customWidth="1"/>
    <col min="2764" max="2764" width="19.140625" style="6" customWidth="1"/>
    <col min="2765" max="2765" width="19.42578125" style="6" customWidth="1"/>
    <col min="2766" max="2766" width="17.7109375" style="6" customWidth="1"/>
    <col min="2767" max="2767" width="19.42578125" style="6" customWidth="1"/>
    <col min="2768" max="2768" width="19.28515625" style="6" customWidth="1"/>
    <col min="2769" max="2769" width="19.85546875" style="6" customWidth="1"/>
    <col min="2770" max="2770" width="12" style="6" customWidth="1"/>
    <col min="2771" max="2771" width="18.5703125" style="6" customWidth="1"/>
    <col min="2772" max="2772" width="17.85546875" style="6" customWidth="1"/>
    <col min="2773" max="2773" width="18.85546875" style="6" customWidth="1"/>
    <col min="2774" max="2774" width="19.140625" style="6" customWidth="1"/>
    <col min="2775" max="2775" width="18.85546875" style="6" customWidth="1"/>
    <col min="2776" max="2777" width="17.7109375" style="6" customWidth="1"/>
    <col min="2778" max="2778" width="19.42578125" style="6" customWidth="1"/>
    <col min="2779" max="2779" width="18.5703125" style="6" customWidth="1"/>
    <col min="2780" max="2780" width="17.140625" style="6" customWidth="1"/>
    <col min="2781" max="2781" width="17" style="6" customWidth="1"/>
    <col min="2782" max="2782" width="16.28515625" style="6" customWidth="1"/>
    <col min="2783" max="2783" width="17.85546875" style="6" customWidth="1"/>
    <col min="2784" max="2784" width="18.5703125" style="6" customWidth="1"/>
    <col min="2785" max="2785" width="17.42578125" style="6" customWidth="1"/>
    <col min="2786" max="2786" width="16.5703125" style="6" customWidth="1"/>
    <col min="2787" max="2787" width="17.28515625" style="6" customWidth="1"/>
    <col min="2788" max="2788" width="19" style="6" customWidth="1"/>
    <col min="2789" max="2789" width="18.5703125" style="6" customWidth="1"/>
    <col min="2790" max="2790" width="9.28515625" style="6" customWidth="1"/>
    <col min="2791" max="2791" width="18.7109375" style="6" customWidth="1"/>
    <col min="2792" max="2798" width="18.5703125" style="6" customWidth="1"/>
    <col min="2799" max="2799" width="20.140625" style="6" customWidth="1"/>
    <col min="2800" max="2800" width="18.5703125" style="6" customWidth="1"/>
    <col min="2801" max="2802" width="0" style="6" hidden="1" customWidth="1"/>
    <col min="2803" max="2803" width="18.5703125" style="6" customWidth="1"/>
    <col min="2804" max="2807" width="0" style="6" hidden="1" customWidth="1"/>
    <col min="2808" max="2808" width="15.5703125" style="6" customWidth="1"/>
    <col min="2809" max="2809" width="19" style="6" customWidth="1"/>
    <col min="2810" max="2810" width="18.5703125" style="6" customWidth="1"/>
    <col min="2811" max="2929" width="11.42578125" style="6"/>
    <col min="2930" max="2930" width="44" style="6" customWidth="1"/>
    <col min="2931" max="2933" width="0" style="6" hidden="1" customWidth="1"/>
    <col min="2934" max="2934" width="12.7109375" style="6" customWidth="1"/>
    <col min="2935" max="2935" width="10.28515625" style="6" bestFit="1" customWidth="1"/>
    <col min="2936" max="2936" width="10.28515625" style="6" customWidth="1"/>
    <col min="2937" max="2937" width="9.7109375" style="6" customWidth="1"/>
    <col min="2938" max="2938" width="12.7109375" style="6" customWidth="1"/>
    <col min="2939" max="2939" width="12" style="6" customWidth="1"/>
    <col min="2940" max="2940" width="11.5703125" style="6" customWidth="1"/>
    <col min="2941" max="2941" width="10" style="6" customWidth="1"/>
    <col min="2942" max="2942" width="9" style="6" customWidth="1"/>
    <col min="2943" max="2943" width="8.7109375" style="6" customWidth="1"/>
    <col min="2944" max="2944" width="9.5703125" style="6" customWidth="1"/>
    <col min="2945" max="2945" width="17.140625" style="6" customWidth="1"/>
    <col min="2946" max="2946" width="8.85546875" style="6" customWidth="1"/>
    <col min="2947" max="2965" width="18.7109375" style="6" customWidth="1"/>
    <col min="2966" max="2966" width="17.5703125" style="6" customWidth="1"/>
    <col min="2967" max="2967" width="21.5703125" style="6" customWidth="1"/>
    <col min="2968" max="2968" width="18.42578125" style="6" customWidth="1"/>
    <col min="2969" max="2969" width="20.140625" style="6" customWidth="1"/>
    <col min="2970" max="2970" width="18.7109375" style="6" customWidth="1"/>
    <col min="2971" max="2971" width="17.7109375" style="6" customWidth="1"/>
    <col min="2972" max="2973" width="18.85546875" style="6" customWidth="1"/>
    <col min="2974" max="2974" width="18.28515625" style="6" customWidth="1"/>
    <col min="2975" max="2975" width="20.140625" style="6" customWidth="1"/>
    <col min="2976" max="2976" width="17.140625" style="6" customWidth="1"/>
    <col min="2977" max="2977" width="17.42578125" style="6" customWidth="1"/>
    <col min="2978" max="2978" width="16.28515625" style="6" customWidth="1"/>
    <col min="2979" max="2979" width="19.28515625" style="6" customWidth="1"/>
    <col min="2980" max="2980" width="18" style="6" customWidth="1"/>
    <col min="2981" max="2981" width="18.28515625" style="6" customWidth="1"/>
    <col min="2982" max="2982" width="17.140625" style="6" customWidth="1"/>
    <col min="2983" max="2983" width="16.7109375" style="6" customWidth="1"/>
    <col min="2984" max="2984" width="17.7109375" style="6" customWidth="1"/>
    <col min="2985" max="2985" width="19.28515625" style="6" customWidth="1"/>
    <col min="2986" max="2986" width="17.28515625" style="6" customWidth="1"/>
    <col min="2987" max="2987" width="17.7109375" style="6" customWidth="1"/>
    <col min="2988" max="2988" width="19.7109375" style="6" customWidth="1"/>
    <col min="2989" max="2989" width="17.28515625" style="6" customWidth="1"/>
    <col min="2990" max="2990" width="18.28515625" style="6" customWidth="1"/>
    <col min="2991" max="2991" width="20.85546875" style="6" customWidth="1"/>
    <col min="2992" max="2992" width="17.28515625" style="6" customWidth="1"/>
    <col min="2993" max="2993" width="17.5703125" style="6" customWidth="1"/>
    <col min="2994" max="2994" width="18.42578125" style="6" customWidth="1"/>
    <col min="2995" max="2995" width="18.85546875" style="6" customWidth="1"/>
    <col min="2996" max="2996" width="19.7109375" style="6" customWidth="1"/>
    <col min="2997" max="2997" width="18" style="6" customWidth="1"/>
    <col min="2998" max="2998" width="19.140625" style="6" customWidth="1"/>
    <col min="2999" max="2999" width="19" style="6" customWidth="1"/>
    <col min="3000" max="3000" width="19.28515625" style="6" customWidth="1"/>
    <col min="3001" max="3002" width="19" style="6" customWidth="1"/>
    <col min="3003" max="3003" width="18.28515625" style="6" customWidth="1"/>
    <col min="3004" max="3004" width="19.5703125" style="6" customWidth="1"/>
    <col min="3005" max="3005" width="20.28515625" style="6" customWidth="1"/>
    <col min="3006" max="3006" width="8.7109375" style="6" customWidth="1"/>
    <col min="3007" max="3007" width="20.42578125" style="6" customWidth="1"/>
    <col min="3008" max="3008" width="18.28515625" style="6" customWidth="1"/>
    <col min="3009" max="3009" width="17.85546875" style="6" customWidth="1"/>
    <col min="3010" max="3010" width="19.28515625" style="6" customWidth="1"/>
    <col min="3011" max="3011" width="18.140625" style="6" customWidth="1"/>
    <col min="3012" max="3012" width="17.85546875" style="6" customWidth="1"/>
    <col min="3013" max="3013" width="18" style="6" customWidth="1"/>
    <col min="3014" max="3014" width="18.28515625" style="6" customWidth="1"/>
    <col min="3015" max="3015" width="19.42578125" style="6" customWidth="1"/>
    <col min="3016" max="3016" width="17.85546875" style="6" customWidth="1"/>
    <col min="3017" max="3017" width="18.85546875" style="6" customWidth="1"/>
    <col min="3018" max="3018" width="17.85546875" style="6" customWidth="1"/>
    <col min="3019" max="3019" width="18.5703125" style="6" customWidth="1"/>
    <col min="3020" max="3020" width="19.140625" style="6" customWidth="1"/>
    <col min="3021" max="3021" width="19.42578125" style="6" customWidth="1"/>
    <col min="3022" max="3022" width="17.7109375" style="6" customWidth="1"/>
    <col min="3023" max="3023" width="19.42578125" style="6" customWidth="1"/>
    <col min="3024" max="3024" width="19.28515625" style="6" customWidth="1"/>
    <col min="3025" max="3025" width="19.85546875" style="6" customWidth="1"/>
    <col min="3026" max="3026" width="12" style="6" customWidth="1"/>
    <col min="3027" max="3027" width="18.5703125" style="6" customWidth="1"/>
    <col min="3028" max="3028" width="17.85546875" style="6" customWidth="1"/>
    <col min="3029" max="3029" width="18.85546875" style="6" customWidth="1"/>
    <col min="3030" max="3030" width="19.140625" style="6" customWidth="1"/>
    <col min="3031" max="3031" width="18.85546875" style="6" customWidth="1"/>
    <col min="3032" max="3033" width="17.7109375" style="6" customWidth="1"/>
    <col min="3034" max="3034" width="19.42578125" style="6" customWidth="1"/>
    <col min="3035" max="3035" width="18.5703125" style="6" customWidth="1"/>
    <col min="3036" max="3036" width="17.140625" style="6" customWidth="1"/>
    <col min="3037" max="3037" width="17" style="6" customWidth="1"/>
    <col min="3038" max="3038" width="16.28515625" style="6" customWidth="1"/>
    <col min="3039" max="3039" width="17.85546875" style="6" customWidth="1"/>
    <col min="3040" max="3040" width="18.5703125" style="6" customWidth="1"/>
    <col min="3041" max="3041" width="17.42578125" style="6" customWidth="1"/>
    <col min="3042" max="3042" width="16.5703125" style="6" customWidth="1"/>
    <col min="3043" max="3043" width="17.28515625" style="6" customWidth="1"/>
    <col min="3044" max="3044" width="19" style="6" customWidth="1"/>
    <col min="3045" max="3045" width="18.5703125" style="6" customWidth="1"/>
    <col min="3046" max="3046" width="9.28515625" style="6" customWidth="1"/>
    <col min="3047" max="3047" width="18.7109375" style="6" customWidth="1"/>
    <col min="3048" max="3054" width="18.5703125" style="6" customWidth="1"/>
    <col min="3055" max="3055" width="20.140625" style="6" customWidth="1"/>
    <col min="3056" max="3056" width="18.5703125" style="6" customWidth="1"/>
    <col min="3057" max="3058" width="0" style="6" hidden="1" customWidth="1"/>
    <col min="3059" max="3059" width="18.5703125" style="6" customWidth="1"/>
    <col min="3060" max="3063" width="0" style="6" hidden="1" customWidth="1"/>
    <col min="3064" max="3064" width="15.5703125" style="6" customWidth="1"/>
    <col min="3065" max="3065" width="19" style="6" customWidth="1"/>
    <col min="3066" max="3066" width="18.5703125" style="6" customWidth="1"/>
    <col min="3067" max="3185" width="11.42578125" style="6"/>
    <col min="3186" max="3186" width="44" style="6" customWidth="1"/>
    <col min="3187" max="3189" width="0" style="6" hidden="1" customWidth="1"/>
    <col min="3190" max="3190" width="12.7109375" style="6" customWidth="1"/>
    <col min="3191" max="3191" width="10.28515625" style="6" bestFit="1" customWidth="1"/>
    <col min="3192" max="3192" width="10.28515625" style="6" customWidth="1"/>
    <col min="3193" max="3193" width="9.7109375" style="6" customWidth="1"/>
    <col min="3194" max="3194" width="12.7109375" style="6" customWidth="1"/>
    <col min="3195" max="3195" width="12" style="6" customWidth="1"/>
    <col min="3196" max="3196" width="11.5703125" style="6" customWidth="1"/>
    <col min="3197" max="3197" width="10" style="6" customWidth="1"/>
    <col min="3198" max="3198" width="9" style="6" customWidth="1"/>
    <col min="3199" max="3199" width="8.7109375" style="6" customWidth="1"/>
    <col min="3200" max="3200" width="9.5703125" style="6" customWidth="1"/>
    <col min="3201" max="3201" width="17.140625" style="6" customWidth="1"/>
    <col min="3202" max="3202" width="8.85546875" style="6" customWidth="1"/>
    <col min="3203" max="3221" width="18.7109375" style="6" customWidth="1"/>
    <col min="3222" max="3222" width="17.5703125" style="6" customWidth="1"/>
    <col min="3223" max="3223" width="21.5703125" style="6" customWidth="1"/>
    <col min="3224" max="3224" width="18.42578125" style="6" customWidth="1"/>
    <col min="3225" max="3225" width="20.140625" style="6" customWidth="1"/>
    <col min="3226" max="3226" width="18.7109375" style="6" customWidth="1"/>
    <col min="3227" max="3227" width="17.7109375" style="6" customWidth="1"/>
    <col min="3228" max="3229" width="18.85546875" style="6" customWidth="1"/>
    <col min="3230" max="3230" width="18.28515625" style="6" customWidth="1"/>
    <col min="3231" max="3231" width="20.140625" style="6" customWidth="1"/>
    <col min="3232" max="3232" width="17.140625" style="6" customWidth="1"/>
    <col min="3233" max="3233" width="17.42578125" style="6" customWidth="1"/>
    <col min="3234" max="3234" width="16.28515625" style="6" customWidth="1"/>
    <col min="3235" max="3235" width="19.28515625" style="6" customWidth="1"/>
    <col min="3236" max="3236" width="18" style="6" customWidth="1"/>
    <col min="3237" max="3237" width="18.28515625" style="6" customWidth="1"/>
    <col min="3238" max="3238" width="17.140625" style="6" customWidth="1"/>
    <col min="3239" max="3239" width="16.7109375" style="6" customWidth="1"/>
    <col min="3240" max="3240" width="17.7109375" style="6" customWidth="1"/>
    <col min="3241" max="3241" width="19.28515625" style="6" customWidth="1"/>
    <col min="3242" max="3242" width="17.28515625" style="6" customWidth="1"/>
    <col min="3243" max="3243" width="17.7109375" style="6" customWidth="1"/>
    <col min="3244" max="3244" width="19.7109375" style="6" customWidth="1"/>
    <col min="3245" max="3245" width="17.28515625" style="6" customWidth="1"/>
    <col min="3246" max="3246" width="18.28515625" style="6" customWidth="1"/>
    <col min="3247" max="3247" width="20.85546875" style="6" customWidth="1"/>
    <col min="3248" max="3248" width="17.28515625" style="6" customWidth="1"/>
    <col min="3249" max="3249" width="17.5703125" style="6" customWidth="1"/>
    <col min="3250" max="3250" width="18.42578125" style="6" customWidth="1"/>
    <col min="3251" max="3251" width="18.85546875" style="6" customWidth="1"/>
    <col min="3252" max="3252" width="19.7109375" style="6" customWidth="1"/>
    <col min="3253" max="3253" width="18" style="6" customWidth="1"/>
    <col min="3254" max="3254" width="19.140625" style="6" customWidth="1"/>
    <col min="3255" max="3255" width="19" style="6" customWidth="1"/>
    <col min="3256" max="3256" width="19.28515625" style="6" customWidth="1"/>
    <col min="3257" max="3258" width="19" style="6" customWidth="1"/>
    <col min="3259" max="3259" width="18.28515625" style="6" customWidth="1"/>
    <col min="3260" max="3260" width="19.5703125" style="6" customWidth="1"/>
    <col min="3261" max="3261" width="20.28515625" style="6" customWidth="1"/>
    <col min="3262" max="3262" width="8.7109375" style="6" customWidth="1"/>
    <col min="3263" max="3263" width="20.42578125" style="6" customWidth="1"/>
    <col min="3264" max="3264" width="18.28515625" style="6" customWidth="1"/>
    <col min="3265" max="3265" width="17.85546875" style="6" customWidth="1"/>
    <col min="3266" max="3266" width="19.28515625" style="6" customWidth="1"/>
    <col min="3267" max="3267" width="18.140625" style="6" customWidth="1"/>
    <col min="3268" max="3268" width="17.85546875" style="6" customWidth="1"/>
    <col min="3269" max="3269" width="18" style="6" customWidth="1"/>
    <col min="3270" max="3270" width="18.28515625" style="6" customWidth="1"/>
    <col min="3271" max="3271" width="19.42578125" style="6" customWidth="1"/>
    <col min="3272" max="3272" width="17.85546875" style="6" customWidth="1"/>
    <col min="3273" max="3273" width="18.85546875" style="6" customWidth="1"/>
    <col min="3274" max="3274" width="17.85546875" style="6" customWidth="1"/>
    <col min="3275" max="3275" width="18.5703125" style="6" customWidth="1"/>
    <col min="3276" max="3276" width="19.140625" style="6" customWidth="1"/>
    <col min="3277" max="3277" width="19.42578125" style="6" customWidth="1"/>
    <col min="3278" max="3278" width="17.7109375" style="6" customWidth="1"/>
    <col min="3279" max="3279" width="19.42578125" style="6" customWidth="1"/>
    <col min="3280" max="3280" width="19.28515625" style="6" customWidth="1"/>
    <col min="3281" max="3281" width="19.85546875" style="6" customWidth="1"/>
    <col min="3282" max="3282" width="12" style="6" customWidth="1"/>
    <col min="3283" max="3283" width="18.5703125" style="6" customWidth="1"/>
    <col min="3284" max="3284" width="17.85546875" style="6" customWidth="1"/>
    <col min="3285" max="3285" width="18.85546875" style="6" customWidth="1"/>
    <col min="3286" max="3286" width="19.140625" style="6" customWidth="1"/>
    <col min="3287" max="3287" width="18.85546875" style="6" customWidth="1"/>
    <col min="3288" max="3289" width="17.7109375" style="6" customWidth="1"/>
    <col min="3290" max="3290" width="19.42578125" style="6" customWidth="1"/>
    <col min="3291" max="3291" width="18.5703125" style="6" customWidth="1"/>
    <col min="3292" max="3292" width="17.140625" style="6" customWidth="1"/>
    <col min="3293" max="3293" width="17" style="6" customWidth="1"/>
    <col min="3294" max="3294" width="16.28515625" style="6" customWidth="1"/>
    <col min="3295" max="3295" width="17.85546875" style="6" customWidth="1"/>
    <col min="3296" max="3296" width="18.5703125" style="6" customWidth="1"/>
    <col min="3297" max="3297" width="17.42578125" style="6" customWidth="1"/>
    <col min="3298" max="3298" width="16.5703125" style="6" customWidth="1"/>
    <col min="3299" max="3299" width="17.28515625" style="6" customWidth="1"/>
    <col min="3300" max="3300" width="19" style="6" customWidth="1"/>
    <col min="3301" max="3301" width="18.5703125" style="6" customWidth="1"/>
    <col min="3302" max="3302" width="9.28515625" style="6" customWidth="1"/>
    <col min="3303" max="3303" width="18.7109375" style="6" customWidth="1"/>
    <col min="3304" max="3310" width="18.5703125" style="6" customWidth="1"/>
    <col min="3311" max="3311" width="20.140625" style="6" customWidth="1"/>
    <col min="3312" max="3312" width="18.5703125" style="6" customWidth="1"/>
    <col min="3313" max="3314" width="0" style="6" hidden="1" customWidth="1"/>
    <col min="3315" max="3315" width="18.5703125" style="6" customWidth="1"/>
    <col min="3316" max="3319" width="0" style="6" hidden="1" customWidth="1"/>
    <col min="3320" max="3320" width="15.5703125" style="6" customWidth="1"/>
    <col min="3321" max="3321" width="19" style="6" customWidth="1"/>
    <col min="3322" max="3322" width="18.5703125" style="6" customWidth="1"/>
    <col min="3323" max="3441" width="11.42578125" style="6"/>
    <col min="3442" max="3442" width="44" style="6" customWidth="1"/>
    <col min="3443" max="3445" width="0" style="6" hidden="1" customWidth="1"/>
    <col min="3446" max="3446" width="12.7109375" style="6" customWidth="1"/>
    <col min="3447" max="3447" width="10.28515625" style="6" bestFit="1" customWidth="1"/>
    <col min="3448" max="3448" width="10.28515625" style="6" customWidth="1"/>
    <col min="3449" max="3449" width="9.7109375" style="6" customWidth="1"/>
    <col min="3450" max="3450" width="12.7109375" style="6" customWidth="1"/>
    <col min="3451" max="3451" width="12" style="6" customWidth="1"/>
    <col min="3452" max="3452" width="11.5703125" style="6" customWidth="1"/>
    <col min="3453" max="3453" width="10" style="6" customWidth="1"/>
    <col min="3454" max="3454" width="9" style="6" customWidth="1"/>
    <col min="3455" max="3455" width="8.7109375" style="6" customWidth="1"/>
    <col min="3456" max="3456" width="9.5703125" style="6" customWidth="1"/>
    <col min="3457" max="3457" width="17.140625" style="6" customWidth="1"/>
    <col min="3458" max="3458" width="8.85546875" style="6" customWidth="1"/>
    <col min="3459" max="3477" width="18.7109375" style="6" customWidth="1"/>
    <col min="3478" max="3478" width="17.5703125" style="6" customWidth="1"/>
    <col min="3479" max="3479" width="21.5703125" style="6" customWidth="1"/>
    <col min="3480" max="3480" width="18.42578125" style="6" customWidth="1"/>
    <col min="3481" max="3481" width="20.140625" style="6" customWidth="1"/>
    <col min="3482" max="3482" width="18.7109375" style="6" customWidth="1"/>
    <col min="3483" max="3483" width="17.7109375" style="6" customWidth="1"/>
    <col min="3484" max="3485" width="18.85546875" style="6" customWidth="1"/>
    <col min="3486" max="3486" width="18.28515625" style="6" customWidth="1"/>
    <col min="3487" max="3487" width="20.140625" style="6" customWidth="1"/>
    <col min="3488" max="3488" width="17.140625" style="6" customWidth="1"/>
    <col min="3489" max="3489" width="17.42578125" style="6" customWidth="1"/>
    <col min="3490" max="3490" width="16.28515625" style="6" customWidth="1"/>
    <col min="3491" max="3491" width="19.28515625" style="6" customWidth="1"/>
    <col min="3492" max="3492" width="18" style="6" customWidth="1"/>
    <col min="3493" max="3493" width="18.28515625" style="6" customWidth="1"/>
    <col min="3494" max="3494" width="17.140625" style="6" customWidth="1"/>
    <col min="3495" max="3495" width="16.7109375" style="6" customWidth="1"/>
    <col min="3496" max="3496" width="17.7109375" style="6" customWidth="1"/>
    <col min="3497" max="3497" width="19.28515625" style="6" customWidth="1"/>
    <col min="3498" max="3498" width="17.28515625" style="6" customWidth="1"/>
    <col min="3499" max="3499" width="17.7109375" style="6" customWidth="1"/>
    <col min="3500" max="3500" width="19.7109375" style="6" customWidth="1"/>
    <col min="3501" max="3501" width="17.28515625" style="6" customWidth="1"/>
    <col min="3502" max="3502" width="18.28515625" style="6" customWidth="1"/>
    <col min="3503" max="3503" width="20.85546875" style="6" customWidth="1"/>
    <col min="3504" max="3504" width="17.28515625" style="6" customWidth="1"/>
    <col min="3505" max="3505" width="17.5703125" style="6" customWidth="1"/>
    <col min="3506" max="3506" width="18.42578125" style="6" customWidth="1"/>
    <col min="3507" max="3507" width="18.85546875" style="6" customWidth="1"/>
    <col min="3508" max="3508" width="19.7109375" style="6" customWidth="1"/>
    <col min="3509" max="3509" width="18" style="6" customWidth="1"/>
    <col min="3510" max="3510" width="19.140625" style="6" customWidth="1"/>
    <col min="3511" max="3511" width="19" style="6" customWidth="1"/>
    <col min="3512" max="3512" width="19.28515625" style="6" customWidth="1"/>
    <col min="3513" max="3514" width="19" style="6" customWidth="1"/>
    <col min="3515" max="3515" width="18.28515625" style="6" customWidth="1"/>
    <col min="3516" max="3516" width="19.5703125" style="6" customWidth="1"/>
    <col min="3517" max="3517" width="20.28515625" style="6" customWidth="1"/>
    <col min="3518" max="3518" width="8.7109375" style="6" customWidth="1"/>
    <col min="3519" max="3519" width="20.42578125" style="6" customWidth="1"/>
    <col min="3520" max="3520" width="18.28515625" style="6" customWidth="1"/>
    <col min="3521" max="3521" width="17.85546875" style="6" customWidth="1"/>
    <col min="3522" max="3522" width="19.28515625" style="6" customWidth="1"/>
    <col min="3523" max="3523" width="18.140625" style="6" customWidth="1"/>
    <col min="3524" max="3524" width="17.85546875" style="6" customWidth="1"/>
    <col min="3525" max="3525" width="18" style="6" customWidth="1"/>
    <col min="3526" max="3526" width="18.28515625" style="6" customWidth="1"/>
    <col min="3527" max="3527" width="19.42578125" style="6" customWidth="1"/>
    <col min="3528" max="3528" width="17.85546875" style="6" customWidth="1"/>
    <col min="3529" max="3529" width="18.85546875" style="6" customWidth="1"/>
    <col min="3530" max="3530" width="17.85546875" style="6" customWidth="1"/>
    <col min="3531" max="3531" width="18.5703125" style="6" customWidth="1"/>
    <col min="3532" max="3532" width="19.140625" style="6" customWidth="1"/>
    <col min="3533" max="3533" width="19.42578125" style="6" customWidth="1"/>
    <col min="3534" max="3534" width="17.7109375" style="6" customWidth="1"/>
    <col min="3535" max="3535" width="19.42578125" style="6" customWidth="1"/>
    <col min="3536" max="3536" width="19.28515625" style="6" customWidth="1"/>
    <col min="3537" max="3537" width="19.85546875" style="6" customWidth="1"/>
    <col min="3538" max="3538" width="12" style="6" customWidth="1"/>
    <col min="3539" max="3539" width="18.5703125" style="6" customWidth="1"/>
    <col min="3540" max="3540" width="17.85546875" style="6" customWidth="1"/>
    <col min="3541" max="3541" width="18.85546875" style="6" customWidth="1"/>
    <col min="3542" max="3542" width="19.140625" style="6" customWidth="1"/>
    <col min="3543" max="3543" width="18.85546875" style="6" customWidth="1"/>
    <col min="3544" max="3545" width="17.7109375" style="6" customWidth="1"/>
    <col min="3546" max="3546" width="19.42578125" style="6" customWidth="1"/>
    <col min="3547" max="3547" width="18.5703125" style="6" customWidth="1"/>
    <col min="3548" max="3548" width="17.140625" style="6" customWidth="1"/>
    <col min="3549" max="3549" width="17" style="6" customWidth="1"/>
    <col min="3550" max="3550" width="16.28515625" style="6" customWidth="1"/>
    <col min="3551" max="3551" width="17.85546875" style="6" customWidth="1"/>
    <col min="3552" max="3552" width="18.5703125" style="6" customWidth="1"/>
    <col min="3553" max="3553" width="17.42578125" style="6" customWidth="1"/>
    <col min="3554" max="3554" width="16.5703125" style="6" customWidth="1"/>
    <col min="3555" max="3555" width="17.28515625" style="6" customWidth="1"/>
    <col min="3556" max="3556" width="19" style="6" customWidth="1"/>
    <col min="3557" max="3557" width="18.5703125" style="6" customWidth="1"/>
    <col min="3558" max="3558" width="9.28515625" style="6" customWidth="1"/>
    <col min="3559" max="3559" width="18.7109375" style="6" customWidth="1"/>
    <col min="3560" max="3566" width="18.5703125" style="6" customWidth="1"/>
    <col min="3567" max="3567" width="20.140625" style="6" customWidth="1"/>
    <col min="3568" max="3568" width="18.5703125" style="6" customWidth="1"/>
    <col min="3569" max="3570" width="0" style="6" hidden="1" customWidth="1"/>
    <col min="3571" max="3571" width="18.5703125" style="6" customWidth="1"/>
    <col min="3572" max="3575" width="0" style="6" hidden="1" customWidth="1"/>
    <col min="3576" max="3576" width="15.5703125" style="6" customWidth="1"/>
    <col min="3577" max="3577" width="19" style="6" customWidth="1"/>
    <col min="3578" max="3578" width="18.5703125" style="6" customWidth="1"/>
    <col min="3579" max="3697" width="11.42578125" style="6"/>
    <col min="3698" max="3698" width="44" style="6" customWidth="1"/>
    <col min="3699" max="3701" width="0" style="6" hidden="1" customWidth="1"/>
    <col min="3702" max="3702" width="12.7109375" style="6" customWidth="1"/>
    <col min="3703" max="3703" width="10.28515625" style="6" bestFit="1" customWidth="1"/>
    <col min="3704" max="3704" width="10.28515625" style="6" customWidth="1"/>
    <col min="3705" max="3705" width="9.7109375" style="6" customWidth="1"/>
    <col min="3706" max="3706" width="12.7109375" style="6" customWidth="1"/>
    <col min="3707" max="3707" width="12" style="6" customWidth="1"/>
    <col min="3708" max="3708" width="11.5703125" style="6" customWidth="1"/>
    <col min="3709" max="3709" width="10" style="6" customWidth="1"/>
    <col min="3710" max="3710" width="9" style="6" customWidth="1"/>
    <col min="3711" max="3711" width="8.7109375" style="6" customWidth="1"/>
    <col min="3712" max="3712" width="9.5703125" style="6" customWidth="1"/>
    <col min="3713" max="3713" width="17.140625" style="6" customWidth="1"/>
    <col min="3714" max="3714" width="8.85546875" style="6" customWidth="1"/>
    <col min="3715" max="3733" width="18.7109375" style="6" customWidth="1"/>
    <col min="3734" max="3734" width="17.5703125" style="6" customWidth="1"/>
    <col min="3735" max="3735" width="21.5703125" style="6" customWidth="1"/>
    <col min="3736" max="3736" width="18.42578125" style="6" customWidth="1"/>
    <col min="3737" max="3737" width="20.140625" style="6" customWidth="1"/>
    <col min="3738" max="3738" width="18.7109375" style="6" customWidth="1"/>
    <col min="3739" max="3739" width="17.7109375" style="6" customWidth="1"/>
    <col min="3740" max="3741" width="18.85546875" style="6" customWidth="1"/>
    <col min="3742" max="3742" width="18.28515625" style="6" customWidth="1"/>
    <col min="3743" max="3743" width="20.140625" style="6" customWidth="1"/>
    <col min="3744" max="3744" width="17.140625" style="6" customWidth="1"/>
    <col min="3745" max="3745" width="17.42578125" style="6" customWidth="1"/>
    <col min="3746" max="3746" width="16.28515625" style="6" customWidth="1"/>
    <col min="3747" max="3747" width="19.28515625" style="6" customWidth="1"/>
    <col min="3748" max="3748" width="18" style="6" customWidth="1"/>
    <col min="3749" max="3749" width="18.28515625" style="6" customWidth="1"/>
    <col min="3750" max="3750" width="17.140625" style="6" customWidth="1"/>
    <col min="3751" max="3751" width="16.7109375" style="6" customWidth="1"/>
    <col min="3752" max="3752" width="17.7109375" style="6" customWidth="1"/>
    <col min="3753" max="3753" width="19.28515625" style="6" customWidth="1"/>
    <col min="3754" max="3754" width="17.28515625" style="6" customWidth="1"/>
    <col min="3755" max="3755" width="17.7109375" style="6" customWidth="1"/>
    <col min="3756" max="3756" width="19.7109375" style="6" customWidth="1"/>
    <col min="3757" max="3757" width="17.28515625" style="6" customWidth="1"/>
    <col min="3758" max="3758" width="18.28515625" style="6" customWidth="1"/>
    <col min="3759" max="3759" width="20.85546875" style="6" customWidth="1"/>
    <col min="3760" max="3760" width="17.28515625" style="6" customWidth="1"/>
    <col min="3761" max="3761" width="17.5703125" style="6" customWidth="1"/>
    <col min="3762" max="3762" width="18.42578125" style="6" customWidth="1"/>
    <col min="3763" max="3763" width="18.85546875" style="6" customWidth="1"/>
    <col min="3764" max="3764" width="19.7109375" style="6" customWidth="1"/>
    <col min="3765" max="3765" width="18" style="6" customWidth="1"/>
    <col min="3766" max="3766" width="19.140625" style="6" customWidth="1"/>
    <col min="3767" max="3767" width="19" style="6" customWidth="1"/>
    <col min="3768" max="3768" width="19.28515625" style="6" customWidth="1"/>
    <col min="3769" max="3770" width="19" style="6" customWidth="1"/>
    <col min="3771" max="3771" width="18.28515625" style="6" customWidth="1"/>
    <col min="3772" max="3772" width="19.5703125" style="6" customWidth="1"/>
    <col min="3773" max="3773" width="20.28515625" style="6" customWidth="1"/>
    <col min="3774" max="3774" width="8.7109375" style="6" customWidth="1"/>
    <col min="3775" max="3775" width="20.42578125" style="6" customWidth="1"/>
    <col min="3776" max="3776" width="18.28515625" style="6" customWidth="1"/>
    <col min="3777" max="3777" width="17.85546875" style="6" customWidth="1"/>
    <col min="3778" max="3778" width="19.28515625" style="6" customWidth="1"/>
    <col min="3779" max="3779" width="18.140625" style="6" customWidth="1"/>
    <col min="3780" max="3780" width="17.85546875" style="6" customWidth="1"/>
    <col min="3781" max="3781" width="18" style="6" customWidth="1"/>
    <col min="3782" max="3782" width="18.28515625" style="6" customWidth="1"/>
    <col min="3783" max="3783" width="19.42578125" style="6" customWidth="1"/>
    <col min="3784" max="3784" width="17.85546875" style="6" customWidth="1"/>
    <col min="3785" max="3785" width="18.85546875" style="6" customWidth="1"/>
    <col min="3786" max="3786" width="17.85546875" style="6" customWidth="1"/>
    <col min="3787" max="3787" width="18.5703125" style="6" customWidth="1"/>
    <col min="3788" max="3788" width="19.140625" style="6" customWidth="1"/>
    <col min="3789" max="3789" width="19.42578125" style="6" customWidth="1"/>
    <col min="3790" max="3790" width="17.7109375" style="6" customWidth="1"/>
    <col min="3791" max="3791" width="19.42578125" style="6" customWidth="1"/>
    <col min="3792" max="3792" width="19.28515625" style="6" customWidth="1"/>
    <col min="3793" max="3793" width="19.85546875" style="6" customWidth="1"/>
    <col min="3794" max="3794" width="12" style="6" customWidth="1"/>
    <col min="3795" max="3795" width="18.5703125" style="6" customWidth="1"/>
    <col min="3796" max="3796" width="17.85546875" style="6" customWidth="1"/>
    <col min="3797" max="3797" width="18.85546875" style="6" customWidth="1"/>
    <col min="3798" max="3798" width="19.140625" style="6" customWidth="1"/>
    <col min="3799" max="3799" width="18.85546875" style="6" customWidth="1"/>
    <col min="3800" max="3801" width="17.7109375" style="6" customWidth="1"/>
    <col min="3802" max="3802" width="19.42578125" style="6" customWidth="1"/>
    <col min="3803" max="3803" width="18.5703125" style="6" customWidth="1"/>
    <col min="3804" max="3804" width="17.140625" style="6" customWidth="1"/>
    <col min="3805" max="3805" width="17" style="6" customWidth="1"/>
    <col min="3806" max="3806" width="16.28515625" style="6" customWidth="1"/>
    <col min="3807" max="3807" width="17.85546875" style="6" customWidth="1"/>
    <col min="3808" max="3808" width="18.5703125" style="6" customWidth="1"/>
    <col min="3809" max="3809" width="17.42578125" style="6" customWidth="1"/>
    <col min="3810" max="3810" width="16.5703125" style="6" customWidth="1"/>
    <col min="3811" max="3811" width="17.28515625" style="6" customWidth="1"/>
    <col min="3812" max="3812" width="19" style="6" customWidth="1"/>
    <col min="3813" max="3813" width="18.5703125" style="6" customWidth="1"/>
    <col min="3814" max="3814" width="9.28515625" style="6" customWidth="1"/>
    <col min="3815" max="3815" width="18.7109375" style="6" customWidth="1"/>
    <col min="3816" max="3822" width="18.5703125" style="6" customWidth="1"/>
    <col min="3823" max="3823" width="20.140625" style="6" customWidth="1"/>
    <col min="3824" max="3824" width="18.5703125" style="6" customWidth="1"/>
    <col min="3825" max="3826" width="0" style="6" hidden="1" customWidth="1"/>
    <col min="3827" max="3827" width="18.5703125" style="6" customWidth="1"/>
    <col min="3828" max="3831" width="0" style="6" hidden="1" customWidth="1"/>
    <col min="3832" max="3832" width="15.5703125" style="6" customWidth="1"/>
    <col min="3833" max="3833" width="19" style="6" customWidth="1"/>
    <col min="3834" max="3834" width="18.5703125" style="6" customWidth="1"/>
    <col min="3835" max="3953" width="11.42578125" style="6"/>
    <col min="3954" max="3954" width="44" style="6" customWidth="1"/>
    <col min="3955" max="3957" width="0" style="6" hidden="1" customWidth="1"/>
    <col min="3958" max="3958" width="12.7109375" style="6" customWidth="1"/>
    <col min="3959" max="3959" width="10.28515625" style="6" bestFit="1" customWidth="1"/>
    <col min="3960" max="3960" width="10.28515625" style="6" customWidth="1"/>
    <col min="3961" max="3961" width="9.7109375" style="6" customWidth="1"/>
    <col min="3962" max="3962" width="12.7109375" style="6" customWidth="1"/>
    <col min="3963" max="3963" width="12" style="6" customWidth="1"/>
    <col min="3964" max="3964" width="11.5703125" style="6" customWidth="1"/>
    <col min="3965" max="3965" width="10" style="6" customWidth="1"/>
    <col min="3966" max="3966" width="9" style="6" customWidth="1"/>
    <col min="3967" max="3967" width="8.7109375" style="6" customWidth="1"/>
    <col min="3968" max="3968" width="9.5703125" style="6" customWidth="1"/>
    <col min="3969" max="3969" width="17.140625" style="6" customWidth="1"/>
    <col min="3970" max="3970" width="8.85546875" style="6" customWidth="1"/>
    <col min="3971" max="3989" width="18.7109375" style="6" customWidth="1"/>
    <col min="3990" max="3990" width="17.5703125" style="6" customWidth="1"/>
    <col min="3991" max="3991" width="21.5703125" style="6" customWidth="1"/>
    <col min="3992" max="3992" width="18.42578125" style="6" customWidth="1"/>
    <col min="3993" max="3993" width="20.140625" style="6" customWidth="1"/>
    <col min="3994" max="3994" width="18.7109375" style="6" customWidth="1"/>
    <col min="3995" max="3995" width="17.7109375" style="6" customWidth="1"/>
    <col min="3996" max="3997" width="18.85546875" style="6" customWidth="1"/>
    <col min="3998" max="3998" width="18.28515625" style="6" customWidth="1"/>
    <col min="3999" max="3999" width="20.140625" style="6" customWidth="1"/>
    <col min="4000" max="4000" width="17.140625" style="6" customWidth="1"/>
    <col min="4001" max="4001" width="17.42578125" style="6" customWidth="1"/>
    <col min="4002" max="4002" width="16.28515625" style="6" customWidth="1"/>
    <col min="4003" max="4003" width="19.28515625" style="6" customWidth="1"/>
    <col min="4004" max="4004" width="18" style="6" customWidth="1"/>
    <col min="4005" max="4005" width="18.28515625" style="6" customWidth="1"/>
    <col min="4006" max="4006" width="17.140625" style="6" customWidth="1"/>
    <col min="4007" max="4007" width="16.7109375" style="6" customWidth="1"/>
    <col min="4008" max="4008" width="17.7109375" style="6" customWidth="1"/>
    <col min="4009" max="4009" width="19.28515625" style="6" customWidth="1"/>
    <col min="4010" max="4010" width="17.28515625" style="6" customWidth="1"/>
    <col min="4011" max="4011" width="17.7109375" style="6" customWidth="1"/>
    <col min="4012" max="4012" width="19.7109375" style="6" customWidth="1"/>
    <col min="4013" max="4013" width="17.28515625" style="6" customWidth="1"/>
    <col min="4014" max="4014" width="18.28515625" style="6" customWidth="1"/>
    <col min="4015" max="4015" width="20.85546875" style="6" customWidth="1"/>
    <col min="4016" max="4016" width="17.28515625" style="6" customWidth="1"/>
    <col min="4017" max="4017" width="17.5703125" style="6" customWidth="1"/>
    <col min="4018" max="4018" width="18.42578125" style="6" customWidth="1"/>
    <col min="4019" max="4019" width="18.85546875" style="6" customWidth="1"/>
    <col min="4020" max="4020" width="19.7109375" style="6" customWidth="1"/>
    <col min="4021" max="4021" width="18" style="6" customWidth="1"/>
    <col min="4022" max="4022" width="19.140625" style="6" customWidth="1"/>
    <col min="4023" max="4023" width="19" style="6" customWidth="1"/>
    <col min="4024" max="4024" width="19.28515625" style="6" customWidth="1"/>
    <col min="4025" max="4026" width="19" style="6" customWidth="1"/>
    <col min="4027" max="4027" width="18.28515625" style="6" customWidth="1"/>
    <col min="4028" max="4028" width="19.5703125" style="6" customWidth="1"/>
    <col min="4029" max="4029" width="20.28515625" style="6" customWidth="1"/>
    <col min="4030" max="4030" width="8.7109375" style="6" customWidth="1"/>
    <col min="4031" max="4031" width="20.42578125" style="6" customWidth="1"/>
    <col min="4032" max="4032" width="18.28515625" style="6" customWidth="1"/>
    <col min="4033" max="4033" width="17.85546875" style="6" customWidth="1"/>
    <col min="4034" max="4034" width="19.28515625" style="6" customWidth="1"/>
    <col min="4035" max="4035" width="18.140625" style="6" customWidth="1"/>
    <col min="4036" max="4036" width="17.85546875" style="6" customWidth="1"/>
    <col min="4037" max="4037" width="18" style="6" customWidth="1"/>
    <col min="4038" max="4038" width="18.28515625" style="6" customWidth="1"/>
    <col min="4039" max="4039" width="19.42578125" style="6" customWidth="1"/>
    <col min="4040" max="4040" width="17.85546875" style="6" customWidth="1"/>
    <col min="4041" max="4041" width="18.85546875" style="6" customWidth="1"/>
    <col min="4042" max="4042" width="17.85546875" style="6" customWidth="1"/>
    <col min="4043" max="4043" width="18.5703125" style="6" customWidth="1"/>
    <col min="4044" max="4044" width="19.140625" style="6" customWidth="1"/>
    <col min="4045" max="4045" width="19.42578125" style="6" customWidth="1"/>
    <col min="4046" max="4046" width="17.7109375" style="6" customWidth="1"/>
    <col min="4047" max="4047" width="19.42578125" style="6" customWidth="1"/>
    <col min="4048" max="4048" width="19.28515625" style="6" customWidth="1"/>
    <col min="4049" max="4049" width="19.85546875" style="6" customWidth="1"/>
    <col min="4050" max="4050" width="12" style="6" customWidth="1"/>
    <col min="4051" max="4051" width="18.5703125" style="6" customWidth="1"/>
    <col min="4052" max="4052" width="17.85546875" style="6" customWidth="1"/>
    <col min="4053" max="4053" width="18.85546875" style="6" customWidth="1"/>
    <col min="4054" max="4054" width="19.140625" style="6" customWidth="1"/>
    <col min="4055" max="4055" width="18.85546875" style="6" customWidth="1"/>
    <col min="4056" max="4057" width="17.7109375" style="6" customWidth="1"/>
    <col min="4058" max="4058" width="19.42578125" style="6" customWidth="1"/>
    <col min="4059" max="4059" width="18.5703125" style="6" customWidth="1"/>
    <col min="4060" max="4060" width="17.140625" style="6" customWidth="1"/>
    <col min="4061" max="4061" width="17" style="6" customWidth="1"/>
    <col min="4062" max="4062" width="16.28515625" style="6" customWidth="1"/>
    <col min="4063" max="4063" width="17.85546875" style="6" customWidth="1"/>
    <col min="4064" max="4064" width="18.5703125" style="6" customWidth="1"/>
    <col min="4065" max="4065" width="17.42578125" style="6" customWidth="1"/>
    <col min="4066" max="4066" width="16.5703125" style="6" customWidth="1"/>
    <col min="4067" max="4067" width="17.28515625" style="6" customWidth="1"/>
    <col min="4068" max="4068" width="19" style="6" customWidth="1"/>
    <col min="4069" max="4069" width="18.5703125" style="6" customWidth="1"/>
    <col min="4070" max="4070" width="9.28515625" style="6" customWidth="1"/>
    <col min="4071" max="4071" width="18.7109375" style="6" customWidth="1"/>
    <col min="4072" max="4078" width="18.5703125" style="6" customWidth="1"/>
    <col min="4079" max="4079" width="20.140625" style="6" customWidth="1"/>
    <col min="4080" max="4080" width="18.5703125" style="6" customWidth="1"/>
    <col min="4081" max="4082" width="0" style="6" hidden="1" customWidth="1"/>
    <col min="4083" max="4083" width="18.5703125" style="6" customWidth="1"/>
    <col min="4084" max="4087" width="0" style="6" hidden="1" customWidth="1"/>
    <col min="4088" max="4088" width="15.5703125" style="6" customWidth="1"/>
    <col min="4089" max="4089" width="19" style="6" customWidth="1"/>
    <col min="4090" max="4090" width="18.5703125" style="6" customWidth="1"/>
    <col min="4091" max="4209" width="11.42578125" style="6"/>
    <col min="4210" max="4210" width="44" style="6" customWidth="1"/>
    <col min="4211" max="4213" width="0" style="6" hidden="1" customWidth="1"/>
    <col min="4214" max="4214" width="12.7109375" style="6" customWidth="1"/>
    <col min="4215" max="4215" width="10.28515625" style="6" bestFit="1" customWidth="1"/>
    <col min="4216" max="4216" width="10.28515625" style="6" customWidth="1"/>
    <col min="4217" max="4217" width="9.7109375" style="6" customWidth="1"/>
    <col min="4218" max="4218" width="12.7109375" style="6" customWidth="1"/>
    <col min="4219" max="4219" width="12" style="6" customWidth="1"/>
    <col min="4220" max="4220" width="11.5703125" style="6" customWidth="1"/>
    <col min="4221" max="4221" width="10" style="6" customWidth="1"/>
    <col min="4222" max="4222" width="9" style="6" customWidth="1"/>
    <col min="4223" max="4223" width="8.7109375" style="6" customWidth="1"/>
    <col min="4224" max="4224" width="9.5703125" style="6" customWidth="1"/>
    <col min="4225" max="4225" width="17.140625" style="6" customWidth="1"/>
    <col min="4226" max="4226" width="8.85546875" style="6" customWidth="1"/>
    <col min="4227" max="4245" width="18.7109375" style="6" customWidth="1"/>
    <col min="4246" max="4246" width="17.5703125" style="6" customWidth="1"/>
    <col min="4247" max="4247" width="21.5703125" style="6" customWidth="1"/>
    <col min="4248" max="4248" width="18.42578125" style="6" customWidth="1"/>
    <col min="4249" max="4249" width="20.140625" style="6" customWidth="1"/>
    <col min="4250" max="4250" width="18.7109375" style="6" customWidth="1"/>
    <col min="4251" max="4251" width="17.7109375" style="6" customWidth="1"/>
    <col min="4252" max="4253" width="18.85546875" style="6" customWidth="1"/>
    <col min="4254" max="4254" width="18.28515625" style="6" customWidth="1"/>
    <col min="4255" max="4255" width="20.140625" style="6" customWidth="1"/>
    <col min="4256" max="4256" width="17.140625" style="6" customWidth="1"/>
    <col min="4257" max="4257" width="17.42578125" style="6" customWidth="1"/>
    <col min="4258" max="4258" width="16.28515625" style="6" customWidth="1"/>
    <col min="4259" max="4259" width="19.28515625" style="6" customWidth="1"/>
    <col min="4260" max="4260" width="18" style="6" customWidth="1"/>
    <col min="4261" max="4261" width="18.28515625" style="6" customWidth="1"/>
    <col min="4262" max="4262" width="17.140625" style="6" customWidth="1"/>
    <col min="4263" max="4263" width="16.7109375" style="6" customWidth="1"/>
    <col min="4264" max="4264" width="17.7109375" style="6" customWidth="1"/>
    <col min="4265" max="4265" width="19.28515625" style="6" customWidth="1"/>
    <col min="4266" max="4266" width="17.28515625" style="6" customWidth="1"/>
    <col min="4267" max="4267" width="17.7109375" style="6" customWidth="1"/>
    <col min="4268" max="4268" width="19.7109375" style="6" customWidth="1"/>
    <col min="4269" max="4269" width="17.28515625" style="6" customWidth="1"/>
    <col min="4270" max="4270" width="18.28515625" style="6" customWidth="1"/>
    <col min="4271" max="4271" width="20.85546875" style="6" customWidth="1"/>
    <col min="4272" max="4272" width="17.28515625" style="6" customWidth="1"/>
    <col min="4273" max="4273" width="17.5703125" style="6" customWidth="1"/>
    <col min="4274" max="4274" width="18.42578125" style="6" customWidth="1"/>
    <col min="4275" max="4275" width="18.85546875" style="6" customWidth="1"/>
    <col min="4276" max="4276" width="19.7109375" style="6" customWidth="1"/>
    <col min="4277" max="4277" width="18" style="6" customWidth="1"/>
    <col min="4278" max="4278" width="19.140625" style="6" customWidth="1"/>
    <col min="4279" max="4279" width="19" style="6" customWidth="1"/>
    <col min="4280" max="4280" width="19.28515625" style="6" customWidth="1"/>
    <col min="4281" max="4282" width="19" style="6" customWidth="1"/>
    <col min="4283" max="4283" width="18.28515625" style="6" customWidth="1"/>
    <col min="4284" max="4284" width="19.5703125" style="6" customWidth="1"/>
    <col min="4285" max="4285" width="20.28515625" style="6" customWidth="1"/>
    <col min="4286" max="4286" width="8.7109375" style="6" customWidth="1"/>
    <col min="4287" max="4287" width="20.42578125" style="6" customWidth="1"/>
    <col min="4288" max="4288" width="18.28515625" style="6" customWidth="1"/>
    <col min="4289" max="4289" width="17.85546875" style="6" customWidth="1"/>
    <col min="4290" max="4290" width="19.28515625" style="6" customWidth="1"/>
    <col min="4291" max="4291" width="18.140625" style="6" customWidth="1"/>
    <col min="4292" max="4292" width="17.85546875" style="6" customWidth="1"/>
    <col min="4293" max="4293" width="18" style="6" customWidth="1"/>
    <col min="4294" max="4294" width="18.28515625" style="6" customWidth="1"/>
    <col min="4295" max="4295" width="19.42578125" style="6" customWidth="1"/>
    <col min="4296" max="4296" width="17.85546875" style="6" customWidth="1"/>
    <col min="4297" max="4297" width="18.85546875" style="6" customWidth="1"/>
    <col min="4298" max="4298" width="17.85546875" style="6" customWidth="1"/>
    <col min="4299" max="4299" width="18.5703125" style="6" customWidth="1"/>
    <col min="4300" max="4300" width="19.140625" style="6" customWidth="1"/>
    <col min="4301" max="4301" width="19.42578125" style="6" customWidth="1"/>
    <col min="4302" max="4302" width="17.7109375" style="6" customWidth="1"/>
    <col min="4303" max="4303" width="19.42578125" style="6" customWidth="1"/>
    <col min="4304" max="4304" width="19.28515625" style="6" customWidth="1"/>
    <col min="4305" max="4305" width="19.85546875" style="6" customWidth="1"/>
    <col min="4306" max="4306" width="12" style="6" customWidth="1"/>
    <col min="4307" max="4307" width="18.5703125" style="6" customWidth="1"/>
    <col min="4308" max="4308" width="17.85546875" style="6" customWidth="1"/>
    <col min="4309" max="4309" width="18.85546875" style="6" customWidth="1"/>
    <col min="4310" max="4310" width="19.140625" style="6" customWidth="1"/>
    <col min="4311" max="4311" width="18.85546875" style="6" customWidth="1"/>
    <col min="4312" max="4313" width="17.7109375" style="6" customWidth="1"/>
    <col min="4314" max="4314" width="19.42578125" style="6" customWidth="1"/>
    <col min="4315" max="4315" width="18.5703125" style="6" customWidth="1"/>
    <col min="4316" max="4316" width="17.140625" style="6" customWidth="1"/>
    <col min="4317" max="4317" width="17" style="6" customWidth="1"/>
    <col min="4318" max="4318" width="16.28515625" style="6" customWidth="1"/>
    <col min="4319" max="4319" width="17.85546875" style="6" customWidth="1"/>
    <col min="4320" max="4320" width="18.5703125" style="6" customWidth="1"/>
    <col min="4321" max="4321" width="17.42578125" style="6" customWidth="1"/>
    <col min="4322" max="4322" width="16.5703125" style="6" customWidth="1"/>
    <col min="4323" max="4323" width="17.28515625" style="6" customWidth="1"/>
    <col min="4324" max="4324" width="19" style="6" customWidth="1"/>
    <col min="4325" max="4325" width="18.5703125" style="6" customWidth="1"/>
    <col min="4326" max="4326" width="9.28515625" style="6" customWidth="1"/>
    <col min="4327" max="4327" width="18.7109375" style="6" customWidth="1"/>
    <col min="4328" max="4334" width="18.5703125" style="6" customWidth="1"/>
    <col min="4335" max="4335" width="20.140625" style="6" customWidth="1"/>
    <col min="4336" max="4336" width="18.5703125" style="6" customWidth="1"/>
    <col min="4337" max="4338" width="0" style="6" hidden="1" customWidth="1"/>
    <col min="4339" max="4339" width="18.5703125" style="6" customWidth="1"/>
    <col min="4340" max="4343" width="0" style="6" hidden="1" customWidth="1"/>
    <col min="4344" max="4344" width="15.5703125" style="6" customWidth="1"/>
    <col min="4345" max="4345" width="19" style="6" customWidth="1"/>
    <col min="4346" max="4346" width="18.5703125" style="6" customWidth="1"/>
    <col min="4347" max="4465" width="11.42578125" style="6"/>
    <col min="4466" max="4466" width="44" style="6" customWidth="1"/>
    <col min="4467" max="4469" width="0" style="6" hidden="1" customWidth="1"/>
    <col min="4470" max="4470" width="12.7109375" style="6" customWidth="1"/>
    <col min="4471" max="4471" width="10.28515625" style="6" bestFit="1" customWidth="1"/>
    <col min="4472" max="4472" width="10.28515625" style="6" customWidth="1"/>
    <col min="4473" max="4473" width="9.7109375" style="6" customWidth="1"/>
    <col min="4474" max="4474" width="12.7109375" style="6" customWidth="1"/>
    <col min="4475" max="4475" width="12" style="6" customWidth="1"/>
    <col min="4476" max="4476" width="11.5703125" style="6" customWidth="1"/>
    <col min="4477" max="4477" width="10" style="6" customWidth="1"/>
    <col min="4478" max="4478" width="9" style="6" customWidth="1"/>
    <col min="4479" max="4479" width="8.7109375" style="6" customWidth="1"/>
    <col min="4480" max="4480" width="9.5703125" style="6" customWidth="1"/>
    <col min="4481" max="4481" width="17.140625" style="6" customWidth="1"/>
    <col min="4482" max="4482" width="8.85546875" style="6" customWidth="1"/>
    <col min="4483" max="4501" width="18.7109375" style="6" customWidth="1"/>
    <col min="4502" max="4502" width="17.5703125" style="6" customWidth="1"/>
    <col min="4503" max="4503" width="21.5703125" style="6" customWidth="1"/>
    <col min="4504" max="4504" width="18.42578125" style="6" customWidth="1"/>
    <col min="4505" max="4505" width="20.140625" style="6" customWidth="1"/>
    <col min="4506" max="4506" width="18.7109375" style="6" customWidth="1"/>
    <col min="4507" max="4507" width="17.7109375" style="6" customWidth="1"/>
    <col min="4508" max="4509" width="18.85546875" style="6" customWidth="1"/>
    <col min="4510" max="4510" width="18.28515625" style="6" customWidth="1"/>
    <col min="4511" max="4511" width="20.140625" style="6" customWidth="1"/>
    <col min="4512" max="4512" width="17.140625" style="6" customWidth="1"/>
    <col min="4513" max="4513" width="17.42578125" style="6" customWidth="1"/>
    <col min="4514" max="4514" width="16.28515625" style="6" customWidth="1"/>
    <col min="4515" max="4515" width="19.28515625" style="6" customWidth="1"/>
    <col min="4516" max="4516" width="18" style="6" customWidth="1"/>
    <col min="4517" max="4517" width="18.28515625" style="6" customWidth="1"/>
    <col min="4518" max="4518" width="17.140625" style="6" customWidth="1"/>
    <col min="4519" max="4519" width="16.7109375" style="6" customWidth="1"/>
    <col min="4520" max="4520" width="17.7109375" style="6" customWidth="1"/>
    <col min="4521" max="4521" width="19.28515625" style="6" customWidth="1"/>
    <col min="4522" max="4522" width="17.28515625" style="6" customWidth="1"/>
    <col min="4523" max="4523" width="17.7109375" style="6" customWidth="1"/>
    <col min="4524" max="4524" width="19.7109375" style="6" customWidth="1"/>
    <col min="4525" max="4525" width="17.28515625" style="6" customWidth="1"/>
    <col min="4526" max="4526" width="18.28515625" style="6" customWidth="1"/>
    <col min="4527" max="4527" width="20.85546875" style="6" customWidth="1"/>
    <col min="4528" max="4528" width="17.28515625" style="6" customWidth="1"/>
    <col min="4529" max="4529" width="17.5703125" style="6" customWidth="1"/>
    <col min="4530" max="4530" width="18.42578125" style="6" customWidth="1"/>
    <col min="4531" max="4531" width="18.85546875" style="6" customWidth="1"/>
    <col min="4532" max="4532" width="19.7109375" style="6" customWidth="1"/>
    <col min="4533" max="4533" width="18" style="6" customWidth="1"/>
    <col min="4534" max="4534" width="19.140625" style="6" customWidth="1"/>
    <col min="4535" max="4535" width="19" style="6" customWidth="1"/>
    <col min="4536" max="4536" width="19.28515625" style="6" customWidth="1"/>
    <col min="4537" max="4538" width="19" style="6" customWidth="1"/>
    <col min="4539" max="4539" width="18.28515625" style="6" customWidth="1"/>
    <col min="4540" max="4540" width="19.5703125" style="6" customWidth="1"/>
    <col min="4541" max="4541" width="20.28515625" style="6" customWidth="1"/>
    <col min="4542" max="4542" width="8.7109375" style="6" customWidth="1"/>
    <col min="4543" max="4543" width="20.42578125" style="6" customWidth="1"/>
    <col min="4544" max="4544" width="18.28515625" style="6" customWidth="1"/>
    <col min="4545" max="4545" width="17.85546875" style="6" customWidth="1"/>
    <col min="4546" max="4546" width="19.28515625" style="6" customWidth="1"/>
    <col min="4547" max="4547" width="18.140625" style="6" customWidth="1"/>
    <col min="4548" max="4548" width="17.85546875" style="6" customWidth="1"/>
    <col min="4549" max="4549" width="18" style="6" customWidth="1"/>
    <col min="4550" max="4550" width="18.28515625" style="6" customWidth="1"/>
    <col min="4551" max="4551" width="19.42578125" style="6" customWidth="1"/>
    <col min="4552" max="4552" width="17.85546875" style="6" customWidth="1"/>
    <col min="4553" max="4553" width="18.85546875" style="6" customWidth="1"/>
    <col min="4554" max="4554" width="17.85546875" style="6" customWidth="1"/>
    <col min="4555" max="4555" width="18.5703125" style="6" customWidth="1"/>
    <col min="4556" max="4556" width="19.140625" style="6" customWidth="1"/>
    <col min="4557" max="4557" width="19.42578125" style="6" customWidth="1"/>
    <col min="4558" max="4558" width="17.7109375" style="6" customWidth="1"/>
    <col min="4559" max="4559" width="19.42578125" style="6" customWidth="1"/>
    <col min="4560" max="4560" width="19.28515625" style="6" customWidth="1"/>
    <col min="4561" max="4561" width="19.85546875" style="6" customWidth="1"/>
    <col min="4562" max="4562" width="12" style="6" customWidth="1"/>
    <col min="4563" max="4563" width="18.5703125" style="6" customWidth="1"/>
    <col min="4564" max="4564" width="17.85546875" style="6" customWidth="1"/>
    <col min="4565" max="4565" width="18.85546875" style="6" customWidth="1"/>
    <col min="4566" max="4566" width="19.140625" style="6" customWidth="1"/>
    <col min="4567" max="4567" width="18.85546875" style="6" customWidth="1"/>
    <col min="4568" max="4569" width="17.7109375" style="6" customWidth="1"/>
    <col min="4570" max="4570" width="19.42578125" style="6" customWidth="1"/>
    <col min="4571" max="4571" width="18.5703125" style="6" customWidth="1"/>
    <col min="4572" max="4572" width="17.140625" style="6" customWidth="1"/>
    <col min="4573" max="4573" width="17" style="6" customWidth="1"/>
    <col min="4574" max="4574" width="16.28515625" style="6" customWidth="1"/>
    <col min="4575" max="4575" width="17.85546875" style="6" customWidth="1"/>
    <col min="4576" max="4576" width="18.5703125" style="6" customWidth="1"/>
    <col min="4577" max="4577" width="17.42578125" style="6" customWidth="1"/>
    <col min="4578" max="4578" width="16.5703125" style="6" customWidth="1"/>
    <col min="4579" max="4579" width="17.28515625" style="6" customWidth="1"/>
    <col min="4580" max="4580" width="19" style="6" customWidth="1"/>
    <col min="4581" max="4581" width="18.5703125" style="6" customWidth="1"/>
    <col min="4582" max="4582" width="9.28515625" style="6" customWidth="1"/>
    <col min="4583" max="4583" width="18.7109375" style="6" customWidth="1"/>
    <col min="4584" max="4590" width="18.5703125" style="6" customWidth="1"/>
    <col min="4591" max="4591" width="20.140625" style="6" customWidth="1"/>
    <col min="4592" max="4592" width="18.5703125" style="6" customWidth="1"/>
    <col min="4593" max="4594" width="0" style="6" hidden="1" customWidth="1"/>
    <col min="4595" max="4595" width="18.5703125" style="6" customWidth="1"/>
    <col min="4596" max="4599" width="0" style="6" hidden="1" customWidth="1"/>
    <col min="4600" max="4600" width="15.5703125" style="6" customWidth="1"/>
    <col min="4601" max="4601" width="19" style="6" customWidth="1"/>
    <col min="4602" max="4602" width="18.5703125" style="6" customWidth="1"/>
    <col min="4603" max="4721" width="11.42578125" style="6"/>
    <col min="4722" max="4722" width="44" style="6" customWidth="1"/>
    <col min="4723" max="4725" width="0" style="6" hidden="1" customWidth="1"/>
    <col min="4726" max="4726" width="12.7109375" style="6" customWidth="1"/>
    <col min="4727" max="4727" width="10.28515625" style="6" bestFit="1" customWidth="1"/>
    <col min="4728" max="4728" width="10.28515625" style="6" customWidth="1"/>
    <col min="4729" max="4729" width="9.7109375" style="6" customWidth="1"/>
    <col min="4730" max="4730" width="12.7109375" style="6" customWidth="1"/>
    <col min="4731" max="4731" width="12" style="6" customWidth="1"/>
    <col min="4732" max="4732" width="11.5703125" style="6" customWidth="1"/>
    <col min="4733" max="4733" width="10" style="6" customWidth="1"/>
    <col min="4734" max="4734" width="9" style="6" customWidth="1"/>
    <col min="4735" max="4735" width="8.7109375" style="6" customWidth="1"/>
    <col min="4736" max="4736" width="9.5703125" style="6" customWidth="1"/>
    <col min="4737" max="4737" width="17.140625" style="6" customWidth="1"/>
    <col min="4738" max="4738" width="8.85546875" style="6" customWidth="1"/>
    <col min="4739" max="4757" width="18.7109375" style="6" customWidth="1"/>
    <col min="4758" max="4758" width="17.5703125" style="6" customWidth="1"/>
    <col min="4759" max="4759" width="21.5703125" style="6" customWidth="1"/>
    <col min="4760" max="4760" width="18.42578125" style="6" customWidth="1"/>
    <col min="4761" max="4761" width="20.140625" style="6" customWidth="1"/>
    <col min="4762" max="4762" width="18.7109375" style="6" customWidth="1"/>
    <col min="4763" max="4763" width="17.7109375" style="6" customWidth="1"/>
    <col min="4764" max="4765" width="18.85546875" style="6" customWidth="1"/>
    <col min="4766" max="4766" width="18.28515625" style="6" customWidth="1"/>
    <col min="4767" max="4767" width="20.140625" style="6" customWidth="1"/>
    <col min="4768" max="4768" width="17.140625" style="6" customWidth="1"/>
    <col min="4769" max="4769" width="17.42578125" style="6" customWidth="1"/>
    <col min="4770" max="4770" width="16.28515625" style="6" customWidth="1"/>
    <col min="4771" max="4771" width="19.28515625" style="6" customWidth="1"/>
    <col min="4772" max="4772" width="18" style="6" customWidth="1"/>
    <col min="4773" max="4773" width="18.28515625" style="6" customWidth="1"/>
    <col min="4774" max="4774" width="17.140625" style="6" customWidth="1"/>
    <col min="4775" max="4775" width="16.7109375" style="6" customWidth="1"/>
    <col min="4776" max="4776" width="17.7109375" style="6" customWidth="1"/>
    <col min="4777" max="4777" width="19.28515625" style="6" customWidth="1"/>
    <col min="4778" max="4778" width="17.28515625" style="6" customWidth="1"/>
    <col min="4779" max="4779" width="17.7109375" style="6" customWidth="1"/>
    <col min="4780" max="4780" width="19.7109375" style="6" customWidth="1"/>
    <col min="4781" max="4781" width="17.28515625" style="6" customWidth="1"/>
    <col min="4782" max="4782" width="18.28515625" style="6" customWidth="1"/>
    <col min="4783" max="4783" width="20.85546875" style="6" customWidth="1"/>
    <col min="4784" max="4784" width="17.28515625" style="6" customWidth="1"/>
    <col min="4785" max="4785" width="17.5703125" style="6" customWidth="1"/>
    <col min="4786" max="4786" width="18.42578125" style="6" customWidth="1"/>
    <col min="4787" max="4787" width="18.85546875" style="6" customWidth="1"/>
    <col min="4788" max="4788" width="19.7109375" style="6" customWidth="1"/>
    <col min="4789" max="4789" width="18" style="6" customWidth="1"/>
    <col min="4790" max="4790" width="19.140625" style="6" customWidth="1"/>
    <col min="4791" max="4791" width="19" style="6" customWidth="1"/>
    <col min="4792" max="4792" width="19.28515625" style="6" customWidth="1"/>
    <col min="4793" max="4794" width="19" style="6" customWidth="1"/>
    <col min="4795" max="4795" width="18.28515625" style="6" customWidth="1"/>
    <col min="4796" max="4796" width="19.5703125" style="6" customWidth="1"/>
    <col min="4797" max="4797" width="20.28515625" style="6" customWidth="1"/>
    <col min="4798" max="4798" width="8.7109375" style="6" customWidth="1"/>
    <col min="4799" max="4799" width="20.42578125" style="6" customWidth="1"/>
    <col min="4800" max="4800" width="18.28515625" style="6" customWidth="1"/>
    <col min="4801" max="4801" width="17.85546875" style="6" customWidth="1"/>
    <col min="4802" max="4802" width="19.28515625" style="6" customWidth="1"/>
    <col min="4803" max="4803" width="18.140625" style="6" customWidth="1"/>
    <col min="4804" max="4804" width="17.85546875" style="6" customWidth="1"/>
    <col min="4805" max="4805" width="18" style="6" customWidth="1"/>
    <col min="4806" max="4806" width="18.28515625" style="6" customWidth="1"/>
    <col min="4807" max="4807" width="19.42578125" style="6" customWidth="1"/>
    <col min="4808" max="4808" width="17.85546875" style="6" customWidth="1"/>
    <col min="4809" max="4809" width="18.85546875" style="6" customWidth="1"/>
    <col min="4810" max="4810" width="17.85546875" style="6" customWidth="1"/>
    <col min="4811" max="4811" width="18.5703125" style="6" customWidth="1"/>
    <col min="4812" max="4812" width="19.140625" style="6" customWidth="1"/>
    <col min="4813" max="4813" width="19.42578125" style="6" customWidth="1"/>
    <col min="4814" max="4814" width="17.7109375" style="6" customWidth="1"/>
    <col min="4815" max="4815" width="19.42578125" style="6" customWidth="1"/>
    <col min="4816" max="4816" width="19.28515625" style="6" customWidth="1"/>
    <col min="4817" max="4817" width="19.85546875" style="6" customWidth="1"/>
    <col min="4818" max="4818" width="12" style="6" customWidth="1"/>
    <col min="4819" max="4819" width="18.5703125" style="6" customWidth="1"/>
    <col min="4820" max="4820" width="17.85546875" style="6" customWidth="1"/>
    <col min="4821" max="4821" width="18.85546875" style="6" customWidth="1"/>
    <col min="4822" max="4822" width="19.140625" style="6" customWidth="1"/>
    <col min="4823" max="4823" width="18.85546875" style="6" customWidth="1"/>
    <col min="4824" max="4825" width="17.7109375" style="6" customWidth="1"/>
    <col min="4826" max="4826" width="19.42578125" style="6" customWidth="1"/>
    <col min="4827" max="4827" width="18.5703125" style="6" customWidth="1"/>
    <col min="4828" max="4828" width="17.140625" style="6" customWidth="1"/>
    <col min="4829" max="4829" width="17" style="6" customWidth="1"/>
    <col min="4830" max="4830" width="16.28515625" style="6" customWidth="1"/>
    <col min="4831" max="4831" width="17.85546875" style="6" customWidth="1"/>
    <col min="4832" max="4832" width="18.5703125" style="6" customWidth="1"/>
    <col min="4833" max="4833" width="17.42578125" style="6" customWidth="1"/>
    <col min="4834" max="4834" width="16.5703125" style="6" customWidth="1"/>
    <col min="4835" max="4835" width="17.28515625" style="6" customWidth="1"/>
    <col min="4836" max="4836" width="19" style="6" customWidth="1"/>
    <col min="4837" max="4837" width="18.5703125" style="6" customWidth="1"/>
    <col min="4838" max="4838" width="9.28515625" style="6" customWidth="1"/>
    <col min="4839" max="4839" width="18.7109375" style="6" customWidth="1"/>
    <col min="4840" max="4846" width="18.5703125" style="6" customWidth="1"/>
    <col min="4847" max="4847" width="20.140625" style="6" customWidth="1"/>
    <col min="4848" max="4848" width="18.5703125" style="6" customWidth="1"/>
    <col min="4849" max="4850" width="0" style="6" hidden="1" customWidth="1"/>
    <col min="4851" max="4851" width="18.5703125" style="6" customWidth="1"/>
    <col min="4852" max="4855" width="0" style="6" hidden="1" customWidth="1"/>
    <col min="4856" max="4856" width="15.5703125" style="6" customWidth="1"/>
    <col min="4857" max="4857" width="19" style="6" customWidth="1"/>
    <col min="4858" max="4858" width="18.5703125" style="6" customWidth="1"/>
    <col min="4859" max="4977" width="11.42578125" style="6"/>
    <col min="4978" max="4978" width="44" style="6" customWidth="1"/>
    <col min="4979" max="4981" width="0" style="6" hidden="1" customWidth="1"/>
    <col min="4982" max="4982" width="12.7109375" style="6" customWidth="1"/>
    <col min="4983" max="4983" width="10.28515625" style="6" bestFit="1" customWidth="1"/>
    <col min="4984" max="4984" width="10.28515625" style="6" customWidth="1"/>
    <col min="4985" max="4985" width="9.7109375" style="6" customWidth="1"/>
    <col min="4986" max="4986" width="12.7109375" style="6" customWidth="1"/>
    <col min="4987" max="4987" width="12" style="6" customWidth="1"/>
    <col min="4988" max="4988" width="11.5703125" style="6" customWidth="1"/>
    <col min="4989" max="4989" width="10" style="6" customWidth="1"/>
    <col min="4990" max="4990" width="9" style="6" customWidth="1"/>
    <col min="4991" max="4991" width="8.7109375" style="6" customWidth="1"/>
    <col min="4992" max="4992" width="9.5703125" style="6" customWidth="1"/>
    <col min="4993" max="4993" width="17.140625" style="6" customWidth="1"/>
    <col min="4994" max="4994" width="8.85546875" style="6" customWidth="1"/>
    <col min="4995" max="5013" width="18.7109375" style="6" customWidth="1"/>
    <col min="5014" max="5014" width="17.5703125" style="6" customWidth="1"/>
    <col min="5015" max="5015" width="21.5703125" style="6" customWidth="1"/>
    <col min="5016" max="5016" width="18.42578125" style="6" customWidth="1"/>
    <col min="5017" max="5017" width="20.140625" style="6" customWidth="1"/>
    <col min="5018" max="5018" width="18.7109375" style="6" customWidth="1"/>
    <col min="5019" max="5019" width="17.7109375" style="6" customWidth="1"/>
    <col min="5020" max="5021" width="18.85546875" style="6" customWidth="1"/>
    <col min="5022" max="5022" width="18.28515625" style="6" customWidth="1"/>
    <col min="5023" max="5023" width="20.140625" style="6" customWidth="1"/>
    <col min="5024" max="5024" width="17.140625" style="6" customWidth="1"/>
    <col min="5025" max="5025" width="17.42578125" style="6" customWidth="1"/>
    <col min="5026" max="5026" width="16.28515625" style="6" customWidth="1"/>
    <col min="5027" max="5027" width="19.28515625" style="6" customWidth="1"/>
    <col min="5028" max="5028" width="18" style="6" customWidth="1"/>
    <col min="5029" max="5029" width="18.28515625" style="6" customWidth="1"/>
    <col min="5030" max="5030" width="17.140625" style="6" customWidth="1"/>
    <col min="5031" max="5031" width="16.7109375" style="6" customWidth="1"/>
    <col min="5032" max="5032" width="17.7109375" style="6" customWidth="1"/>
    <col min="5033" max="5033" width="19.28515625" style="6" customWidth="1"/>
    <col min="5034" max="5034" width="17.28515625" style="6" customWidth="1"/>
    <col min="5035" max="5035" width="17.7109375" style="6" customWidth="1"/>
    <col min="5036" max="5036" width="19.7109375" style="6" customWidth="1"/>
    <col min="5037" max="5037" width="17.28515625" style="6" customWidth="1"/>
    <col min="5038" max="5038" width="18.28515625" style="6" customWidth="1"/>
    <col min="5039" max="5039" width="20.85546875" style="6" customWidth="1"/>
    <col min="5040" max="5040" width="17.28515625" style="6" customWidth="1"/>
    <col min="5041" max="5041" width="17.5703125" style="6" customWidth="1"/>
    <col min="5042" max="5042" width="18.42578125" style="6" customWidth="1"/>
    <col min="5043" max="5043" width="18.85546875" style="6" customWidth="1"/>
    <col min="5044" max="5044" width="19.7109375" style="6" customWidth="1"/>
    <col min="5045" max="5045" width="18" style="6" customWidth="1"/>
    <col min="5046" max="5046" width="19.140625" style="6" customWidth="1"/>
    <col min="5047" max="5047" width="19" style="6" customWidth="1"/>
    <col min="5048" max="5048" width="19.28515625" style="6" customWidth="1"/>
    <col min="5049" max="5050" width="19" style="6" customWidth="1"/>
    <col min="5051" max="5051" width="18.28515625" style="6" customWidth="1"/>
    <col min="5052" max="5052" width="19.5703125" style="6" customWidth="1"/>
    <col min="5053" max="5053" width="20.28515625" style="6" customWidth="1"/>
    <col min="5054" max="5054" width="8.7109375" style="6" customWidth="1"/>
    <col min="5055" max="5055" width="20.42578125" style="6" customWidth="1"/>
    <col min="5056" max="5056" width="18.28515625" style="6" customWidth="1"/>
    <col min="5057" max="5057" width="17.85546875" style="6" customWidth="1"/>
    <col min="5058" max="5058" width="19.28515625" style="6" customWidth="1"/>
    <col min="5059" max="5059" width="18.140625" style="6" customWidth="1"/>
    <col min="5060" max="5060" width="17.85546875" style="6" customWidth="1"/>
    <col min="5061" max="5061" width="18" style="6" customWidth="1"/>
    <col min="5062" max="5062" width="18.28515625" style="6" customWidth="1"/>
    <col min="5063" max="5063" width="19.42578125" style="6" customWidth="1"/>
    <col min="5064" max="5064" width="17.85546875" style="6" customWidth="1"/>
    <col min="5065" max="5065" width="18.85546875" style="6" customWidth="1"/>
    <col min="5066" max="5066" width="17.85546875" style="6" customWidth="1"/>
    <col min="5067" max="5067" width="18.5703125" style="6" customWidth="1"/>
    <col min="5068" max="5068" width="19.140625" style="6" customWidth="1"/>
    <col min="5069" max="5069" width="19.42578125" style="6" customWidth="1"/>
    <col min="5070" max="5070" width="17.7109375" style="6" customWidth="1"/>
    <col min="5071" max="5071" width="19.42578125" style="6" customWidth="1"/>
    <col min="5072" max="5072" width="19.28515625" style="6" customWidth="1"/>
    <col min="5073" max="5073" width="19.85546875" style="6" customWidth="1"/>
    <col min="5074" max="5074" width="12" style="6" customWidth="1"/>
    <col min="5075" max="5075" width="18.5703125" style="6" customWidth="1"/>
    <col min="5076" max="5076" width="17.85546875" style="6" customWidth="1"/>
    <col min="5077" max="5077" width="18.85546875" style="6" customWidth="1"/>
    <col min="5078" max="5078" width="19.140625" style="6" customWidth="1"/>
    <col min="5079" max="5079" width="18.85546875" style="6" customWidth="1"/>
    <col min="5080" max="5081" width="17.7109375" style="6" customWidth="1"/>
    <col min="5082" max="5082" width="19.42578125" style="6" customWidth="1"/>
    <col min="5083" max="5083" width="18.5703125" style="6" customWidth="1"/>
    <col min="5084" max="5084" width="17.140625" style="6" customWidth="1"/>
    <col min="5085" max="5085" width="17" style="6" customWidth="1"/>
    <col min="5086" max="5086" width="16.28515625" style="6" customWidth="1"/>
    <col min="5087" max="5087" width="17.85546875" style="6" customWidth="1"/>
    <col min="5088" max="5088" width="18.5703125" style="6" customWidth="1"/>
    <col min="5089" max="5089" width="17.42578125" style="6" customWidth="1"/>
    <col min="5090" max="5090" width="16.5703125" style="6" customWidth="1"/>
    <col min="5091" max="5091" width="17.28515625" style="6" customWidth="1"/>
    <col min="5092" max="5092" width="19" style="6" customWidth="1"/>
    <col min="5093" max="5093" width="18.5703125" style="6" customWidth="1"/>
    <col min="5094" max="5094" width="9.28515625" style="6" customWidth="1"/>
    <col min="5095" max="5095" width="18.7109375" style="6" customWidth="1"/>
    <col min="5096" max="5102" width="18.5703125" style="6" customWidth="1"/>
    <col min="5103" max="5103" width="20.140625" style="6" customWidth="1"/>
    <col min="5104" max="5104" width="18.5703125" style="6" customWidth="1"/>
    <col min="5105" max="5106" width="0" style="6" hidden="1" customWidth="1"/>
    <col min="5107" max="5107" width="18.5703125" style="6" customWidth="1"/>
    <col min="5108" max="5111" width="0" style="6" hidden="1" customWidth="1"/>
    <col min="5112" max="5112" width="15.5703125" style="6" customWidth="1"/>
    <col min="5113" max="5113" width="19" style="6" customWidth="1"/>
    <col min="5114" max="5114" width="18.5703125" style="6" customWidth="1"/>
    <col min="5115" max="5233" width="11.42578125" style="6"/>
    <col min="5234" max="5234" width="44" style="6" customWidth="1"/>
    <col min="5235" max="5237" width="0" style="6" hidden="1" customWidth="1"/>
    <col min="5238" max="5238" width="12.7109375" style="6" customWidth="1"/>
    <col min="5239" max="5239" width="10.28515625" style="6" bestFit="1" customWidth="1"/>
    <col min="5240" max="5240" width="10.28515625" style="6" customWidth="1"/>
    <col min="5241" max="5241" width="9.7109375" style="6" customWidth="1"/>
    <col min="5242" max="5242" width="12.7109375" style="6" customWidth="1"/>
    <col min="5243" max="5243" width="12" style="6" customWidth="1"/>
    <col min="5244" max="5244" width="11.5703125" style="6" customWidth="1"/>
    <col min="5245" max="5245" width="10" style="6" customWidth="1"/>
    <col min="5246" max="5246" width="9" style="6" customWidth="1"/>
    <col min="5247" max="5247" width="8.7109375" style="6" customWidth="1"/>
    <col min="5248" max="5248" width="9.5703125" style="6" customWidth="1"/>
    <col min="5249" max="5249" width="17.140625" style="6" customWidth="1"/>
    <col min="5250" max="5250" width="8.85546875" style="6" customWidth="1"/>
    <col min="5251" max="5269" width="18.7109375" style="6" customWidth="1"/>
    <col min="5270" max="5270" width="17.5703125" style="6" customWidth="1"/>
    <col min="5271" max="5271" width="21.5703125" style="6" customWidth="1"/>
    <col min="5272" max="5272" width="18.42578125" style="6" customWidth="1"/>
    <col min="5273" max="5273" width="20.140625" style="6" customWidth="1"/>
    <col min="5274" max="5274" width="18.7109375" style="6" customWidth="1"/>
    <col min="5275" max="5275" width="17.7109375" style="6" customWidth="1"/>
    <col min="5276" max="5277" width="18.85546875" style="6" customWidth="1"/>
    <col min="5278" max="5278" width="18.28515625" style="6" customWidth="1"/>
    <col min="5279" max="5279" width="20.140625" style="6" customWidth="1"/>
    <col min="5280" max="5280" width="17.140625" style="6" customWidth="1"/>
    <col min="5281" max="5281" width="17.42578125" style="6" customWidth="1"/>
    <col min="5282" max="5282" width="16.28515625" style="6" customWidth="1"/>
    <col min="5283" max="5283" width="19.28515625" style="6" customWidth="1"/>
    <col min="5284" max="5284" width="18" style="6" customWidth="1"/>
    <col min="5285" max="5285" width="18.28515625" style="6" customWidth="1"/>
    <col min="5286" max="5286" width="17.140625" style="6" customWidth="1"/>
    <col min="5287" max="5287" width="16.7109375" style="6" customWidth="1"/>
    <col min="5288" max="5288" width="17.7109375" style="6" customWidth="1"/>
    <col min="5289" max="5289" width="19.28515625" style="6" customWidth="1"/>
    <col min="5290" max="5290" width="17.28515625" style="6" customWidth="1"/>
    <col min="5291" max="5291" width="17.7109375" style="6" customWidth="1"/>
    <col min="5292" max="5292" width="19.7109375" style="6" customWidth="1"/>
    <col min="5293" max="5293" width="17.28515625" style="6" customWidth="1"/>
    <col min="5294" max="5294" width="18.28515625" style="6" customWidth="1"/>
    <col min="5295" max="5295" width="20.85546875" style="6" customWidth="1"/>
    <col min="5296" max="5296" width="17.28515625" style="6" customWidth="1"/>
    <col min="5297" max="5297" width="17.5703125" style="6" customWidth="1"/>
    <col min="5298" max="5298" width="18.42578125" style="6" customWidth="1"/>
    <col min="5299" max="5299" width="18.85546875" style="6" customWidth="1"/>
    <col min="5300" max="5300" width="19.7109375" style="6" customWidth="1"/>
    <col min="5301" max="5301" width="18" style="6" customWidth="1"/>
    <col min="5302" max="5302" width="19.140625" style="6" customWidth="1"/>
    <col min="5303" max="5303" width="19" style="6" customWidth="1"/>
    <col min="5304" max="5304" width="19.28515625" style="6" customWidth="1"/>
    <col min="5305" max="5306" width="19" style="6" customWidth="1"/>
    <col min="5307" max="5307" width="18.28515625" style="6" customWidth="1"/>
    <col min="5308" max="5308" width="19.5703125" style="6" customWidth="1"/>
    <col min="5309" max="5309" width="20.28515625" style="6" customWidth="1"/>
    <col min="5310" max="5310" width="8.7109375" style="6" customWidth="1"/>
    <col min="5311" max="5311" width="20.42578125" style="6" customWidth="1"/>
    <col min="5312" max="5312" width="18.28515625" style="6" customWidth="1"/>
    <col min="5313" max="5313" width="17.85546875" style="6" customWidth="1"/>
    <col min="5314" max="5314" width="19.28515625" style="6" customWidth="1"/>
    <col min="5315" max="5315" width="18.140625" style="6" customWidth="1"/>
    <col min="5316" max="5316" width="17.85546875" style="6" customWidth="1"/>
    <col min="5317" max="5317" width="18" style="6" customWidth="1"/>
    <col min="5318" max="5318" width="18.28515625" style="6" customWidth="1"/>
    <col min="5319" max="5319" width="19.42578125" style="6" customWidth="1"/>
    <col min="5320" max="5320" width="17.85546875" style="6" customWidth="1"/>
    <col min="5321" max="5321" width="18.85546875" style="6" customWidth="1"/>
    <col min="5322" max="5322" width="17.85546875" style="6" customWidth="1"/>
    <col min="5323" max="5323" width="18.5703125" style="6" customWidth="1"/>
    <col min="5324" max="5324" width="19.140625" style="6" customWidth="1"/>
    <col min="5325" max="5325" width="19.42578125" style="6" customWidth="1"/>
    <col min="5326" max="5326" width="17.7109375" style="6" customWidth="1"/>
    <col min="5327" max="5327" width="19.42578125" style="6" customWidth="1"/>
    <col min="5328" max="5328" width="19.28515625" style="6" customWidth="1"/>
    <col min="5329" max="5329" width="19.85546875" style="6" customWidth="1"/>
    <col min="5330" max="5330" width="12" style="6" customWidth="1"/>
    <col min="5331" max="5331" width="18.5703125" style="6" customWidth="1"/>
    <col min="5332" max="5332" width="17.85546875" style="6" customWidth="1"/>
    <col min="5333" max="5333" width="18.85546875" style="6" customWidth="1"/>
    <col min="5334" max="5334" width="19.140625" style="6" customWidth="1"/>
    <col min="5335" max="5335" width="18.85546875" style="6" customWidth="1"/>
    <col min="5336" max="5337" width="17.7109375" style="6" customWidth="1"/>
    <col min="5338" max="5338" width="19.42578125" style="6" customWidth="1"/>
    <col min="5339" max="5339" width="18.5703125" style="6" customWidth="1"/>
    <col min="5340" max="5340" width="17.140625" style="6" customWidth="1"/>
    <col min="5341" max="5341" width="17" style="6" customWidth="1"/>
    <col min="5342" max="5342" width="16.28515625" style="6" customWidth="1"/>
    <col min="5343" max="5343" width="17.85546875" style="6" customWidth="1"/>
    <col min="5344" max="5344" width="18.5703125" style="6" customWidth="1"/>
    <col min="5345" max="5345" width="17.42578125" style="6" customWidth="1"/>
    <col min="5346" max="5346" width="16.5703125" style="6" customWidth="1"/>
    <col min="5347" max="5347" width="17.28515625" style="6" customWidth="1"/>
    <col min="5348" max="5348" width="19" style="6" customWidth="1"/>
    <col min="5349" max="5349" width="18.5703125" style="6" customWidth="1"/>
    <col min="5350" max="5350" width="9.28515625" style="6" customWidth="1"/>
    <col min="5351" max="5351" width="18.7109375" style="6" customWidth="1"/>
    <col min="5352" max="5358" width="18.5703125" style="6" customWidth="1"/>
    <col min="5359" max="5359" width="20.140625" style="6" customWidth="1"/>
    <col min="5360" max="5360" width="18.5703125" style="6" customWidth="1"/>
    <col min="5361" max="5362" width="0" style="6" hidden="1" customWidth="1"/>
    <col min="5363" max="5363" width="18.5703125" style="6" customWidth="1"/>
    <col min="5364" max="5367" width="0" style="6" hidden="1" customWidth="1"/>
    <col min="5368" max="5368" width="15.5703125" style="6" customWidth="1"/>
    <col min="5369" max="5369" width="19" style="6" customWidth="1"/>
    <col min="5370" max="5370" width="18.5703125" style="6" customWidth="1"/>
    <col min="5371" max="5489" width="11.42578125" style="6"/>
    <col min="5490" max="5490" width="44" style="6" customWidth="1"/>
    <col min="5491" max="5493" width="0" style="6" hidden="1" customWidth="1"/>
    <col min="5494" max="5494" width="12.7109375" style="6" customWidth="1"/>
    <col min="5495" max="5495" width="10.28515625" style="6" bestFit="1" customWidth="1"/>
    <col min="5496" max="5496" width="10.28515625" style="6" customWidth="1"/>
    <col min="5497" max="5497" width="9.7109375" style="6" customWidth="1"/>
    <col min="5498" max="5498" width="12.7109375" style="6" customWidth="1"/>
    <col min="5499" max="5499" width="12" style="6" customWidth="1"/>
    <col min="5500" max="5500" width="11.5703125" style="6" customWidth="1"/>
    <col min="5501" max="5501" width="10" style="6" customWidth="1"/>
    <col min="5502" max="5502" width="9" style="6" customWidth="1"/>
    <col min="5503" max="5503" width="8.7109375" style="6" customWidth="1"/>
    <col min="5504" max="5504" width="9.5703125" style="6" customWidth="1"/>
    <col min="5505" max="5505" width="17.140625" style="6" customWidth="1"/>
    <col min="5506" max="5506" width="8.85546875" style="6" customWidth="1"/>
    <col min="5507" max="5525" width="18.7109375" style="6" customWidth="1"/>
    <col min="5526" max="5526" width="17.5703125" style="6" customWidth="1"/>
    <col min="5527" max="5527" width="21.5703125" style="6" customWidth="1"/>
    <col min="5528" max="5528" width="18.42578125" style="6" customWidth="1"/>
    <col min="5529" max="5529" width="20.140625" style="6" customWidth="1"/>
    <col min="5530" max="5530" width="18.7109375" style="6" customWidth="1"/>
    <col min="5531" max="5531" width="17.7109375" style="6" customWidth="1"/>
    <col min="5532" max="5533" width="18.85546875" style="6" customWidth="1"/>
    <col min="5534" max="5534" width="18.28515625" style="6" customWidth="1"/>
    <col min="5535" max="5535" width="20.140625" style="6" customWidth="1"/>
    <col min="5536" max="5536" width="17.140625" style="6" customWidth="1"/>
    <col min="5537" max="5537" width="17.42578125" style="6" customWidth="1"/>
    <col min="5538" max="5538" width="16.28515625" style="6" customWidth="1"/>
    <col min="5539" max="5539" width="19.28515625" style="6" customWidth="1"/>
    <col min="5540" max="5540" width="18" style="6" customWidth="1"/>
    <col min="5541" max="5541" width="18.28515625" style="6" customWidth="1"/>
    <col min="5542" max="5542" width="17.140625" style="6" customWidth="1"/>
    <col min="5543" max="5543" width="16.7109375" style="6" customWidth="1"/>
    <col min="5544" max="5544" width="17.7109375" style="6" customWidth="1"/>
    <col min="5545" max="5545" width="19.28515625" style="6" customWidth="1"/>
    <col min="5546" max="5546" width="17.28515625" style="6" customWidth="1"/>
    <col min="5547" max="5547" width="17.7109375" style="6" customWidth="1"/>
    <col min="5548" max="5548" width="19.7109375" style="6" customWidth="1"/>
    <col min="5549" max="5549" width="17.28515625" style="6" customWidth="1"/>
    <col min="5550" max="5550" width="18.28515625" style="6" customWidth="1"/>
    <col min="5551" max="5551" width="20.85546875" style="6" customWidth="1"/>
    <col min="5552" max="5552" width="17.28515625" style="6" customWidth="1"/>
    <col min="5553" max="5553" width="17.5703125" style="6" customWidth="1"/>
    <col min="5554" max="5554" width="18.42578125" style="6" customWidth="1"/>
    <col min="5555" max="5555" width="18.85546875" style="6" customWidth="1"/>
    <col min="5556" max="5556" width="19.7109375" style="6" customWidth="1"/>
    <col min="5557" max="5557" width="18" style="6" customWidth="1"/>
    <col min="5558" max="5558" width="19.140625" style="6" customWidth="1"/>
    <col min="5559" max="5559" width="19" style="6" customWidth="1"/>
    <col min="5560" max="5560" width="19.28515625" style="6" customWidth="1"/>
    <col min="5561" max="5562" width="19" style="6" customWidth="1"/>
    <col min="5563" max="5563" width="18.28515625" style="6" customWidth="1"/>
    <col min="5564" max="5564" width="19.5703125" style="6" customWidth="1"/>
    <col min="5565" max="5565" width="20.28515625" style="6" customWidth="1"/>
    <col min="5566" max="5566" width="8.7109375" style="6" customWidth="1"/>
    <col min="5567" max="5567" width="20.42578125" style="6" customWidth="1"/>
    <col min="5568" max="5568" width="18.28515625" style="6" customWidth="1"/>
    <col min="5569" max="5569" width="17.85546875" style="6" customWidth="1"/>
    <col min="5570" max="5570" width="19.28515625" style="6" customWidth="1"/>
    <col min="5571" max="5571" width="18.140625" style="6" customWidth="1"/>
    <col min="5572" max="5572" width="17.85546875" style="6" customWidth="1"/>
    <col min="5573" max="5573" width="18" style="6" customWidth="1"/>
    <col min="5574" max="5574" width="18.28515625" style="6" customWidth="1"/>
    <col min="5575" max="5575" width="19.42578125" style="6" customWidth="1"/>
    <col min="5576" max="5576" width="17.85546875" style="6" customWidth="1"/>
    <col min="5577" max="5577" width="18.85546875" style="6" customWidth="1"/>
    <col min="5578" max="5578" width="17.85546875" style="6" customWidth="1"/>
    <col min="5579" max="5579" width="18.5703125" style="6" customWidth="1"/>
    <col min="5580" max="5580" width="19.140625" style="6" customWidth="1"/>
    <col min="5581" max="5581" width="19.42578125" style="6" customWidth="1"/>
    <col min="5582" max="5582" width="17.7109375" style="6" customWidth="1"/>
    <col min="5583" max="5583" width="19.42578125" style="6" customWidth="1"/>
    <col min="5584" max="5584" width="19.28515625" style="6" customWidth="1"/>
    <col min="5585" max="5585" width="19.85546875" style="6" customWidth="1"/>
    <col min="5586" max="5586" width="12" style="6" customWidth="1"/>
    <col min="5587" max="5587" width="18.5703125" style="6" customWidth="1"/>
    <col min="5588" max="5588" width="17.85546875" style="6" customWidth="1"/>
    <col min="5589" max="5589" width="18.85546875" style="6" customWidth="1"/>
    <col min="5590" max="5590" width="19.140625" style="6" customWidth="1"/>
    <col min="5591" max="5591" width="18.85546875" style="6" customWidth="1"/>
    <col min="5592" max="5593" width="17.7109375" style="6" customWidth="1"/>
    <col min="5594" max="5594" width="19.42578125" style="6" customWidth="1"/>
    <col min="5595" max="5595" width="18.5703125" style="6" customWidth="1"/>
    <col min="5596" max="5596" width="17.140625" style="6" customWidth="1"/>
    <col min="5597" max="5597" width="17" style="6" customWidth="1"/>
    <col min="5598" max="5598" width="16.28515625" style="6" customWidth="1"/>
    <col min="5599" max="5599" width="17.85546875" style="6" customWidth="1"/>
    <col min="5600" max="5600" width="18.5703125" style="6" customWidth="1"/>
    <col min="5601" max="5601" width="17.42578125" style="6" customWidth="1"/>
    <col min="5602" max="5602" width="16.5703125" style="6" customWidth="1"/>
    <col min="5603" max="5603" width="17.28515625" style="6" customWidth="1"/>
    <col min="5604" max="5604" width="19" style="6" customWidth="1"/>
    <col min="5605" max="5605" width="18.5703125" style="6" customWidth="1"/>
    <col min="5606" max="5606" width="9.28515625" style="6" customWidth="1"/>
    <col min="5607" max="5607" width="18.7109375" style="6" customWidth="1"/>
    <col min="5608" max="5614" width="18.5703125" style="6" customWidth="1"/>
    <col min="5615" max="5615" width="20.140625" style="6" customWidth="1"/>
    <col min="5616" max="5616" width="18.5703125" style="6" customWidth="1"/>
    <col min="5617" max="5618" width="0" style="6" hidden="1" customWidth="1"/>
    <col min="5619" max="5619" width="18.5703125" style="6" customWidth="1"/>
    <col min="5620" max="5623" width="0" style="6" hidden="1" customWidth="1"/>
    <col min="5624" max="5624" width="15.5703125" style="6" customWidth="1"/>
    <col min="5625" max="5625" width="19" style="6" customWidth="1"/>
    <col min="5626" max="5626" width="18.5703125" style="6" customWidth="1"/>
    <col min="5627" max="5745" width="11.42578125" style="6"/>
    <col min="5746" max="5746" width="44" style="6" customWidth="1"/>
    <col min="5747" max="5749" width="0" style="6" hidden="1" customWidth="1"/>
    <col min="5750" max="5750" width="12.7109375" style="6" customWidth="1"/>
    <col min="5751" max="5751" width="10.28515625" style="6" bestFit="1" customWidth="1"/>
    <col min="5752" max="5752" width="10.28515625" style="6" customWidth="1"/>
    <col min="5753" max="5753" width="9.7109375" style="6" customWidth="1"/>
    <col min="5754" max="5754" width="12.7109375" style="6" customWidth="1"/>
    <col min="5755" max="5755" width="12" style="6" customWidth="1"/>
    <col min="5756" max="5756" width="11.5703125" style="6" customWidth="1"/>
    <col min="5757" max="5757" width="10" style="6" customWidth="1"/>
    <col min="5758" max="5758" width="9" style="6" customWidth="1"/>
    <col min="5759" max="5759" width="8.7109375" style="6" customWidth="1"/>
    <col min="5760" max="5760" width="9.5703125" style="6" customWidth="1"/>
    <col min="5761" max="5761" width="17.140625" style="6" customWidth="1"/>
    <col min="5762" max="5762" width="8.85546875" style="6" customWidth="1"/>
    <col min="5763" max="5781" width="18.7109375" style="6" customWidth="1"/>
    <col min="5782" max="5782" width="17.5703125" style="6" customWidth="1"/>
    <col min="5783" max="5783" width="21.5703125" style="6" customWidth="1"/>
    <col min="5784" max="5784" width="18.42578125" style="6" customWidth="1"/>
    <col min="5785" max="5785" width="20.140625" style="6" customWidth="1"/>
    <col min="5786" max="5786" width="18.7109375" style="6" customWidth="1"/>
    <col min="5787" max="5787" width="17.7109375" style="6" customWidth="1"/>
    <col min="5788" max="5789" width="18.85546875" style="6" customWidth="1"/>
    <col min="5790" max="5790" width="18.28515625" style="6" customWidth="1"/>
    <col min="5791" max="5791" width="20.140625" style="6" customWidth="1"/>
    <col min="5792" max="5792" width="17.140625" style="6" customWidth="1"/>
    <col min="5793" max="5793" width="17.42578125" style="6" customWidth="1"/>
    <col min="5794" max="5794" width="16.28515625" style="6" customWidth="1"/>
    <col min="5795" max="5795" width="19.28515625" style="6" customWidth="1"/>
    <col min="5796" max="5796" width="18" style="6" customWidth="1"/>
    <col min="5797" max="5797" width="18.28515625" style="6" customWidth="1"/>
    <col min="5798" max="5798" width="17.140625" style="6" customWidth="1"/>
    <col min="5799" max="5799" width="16.7109375" style="6" customWidth="1"/>
    <col min="5800" max="5800" width="17.7109375" style="6" customWidth="1"/>
    <col min="5801" max="5801" width="19.28515625" style="6" customWidth="1"/>
    <col min="5802" max="5802" width="17.28515625" style="6" customWidth="1"/>
    <col min="5803" max="5803" width="17.7109375" style="6" customWidth="1"/>
    <col min="5804" max="5804" width="19.7109375" style="6" customWidth="1"/>
    <col min="5805" max="5805" width="17.28515625" style="6" customWidth="1"/>
    <col min="5806" max="5806" width="18.28515625" style="6" customWidth="1"/>
    <col min="5807" max="5807" width="20.85546875" style="6" customWidth="1"/>
    <col min="5808" max="5808" width="17.28515625" style="6" customWidth="1"/>
    <col min="5809" max="5809" width="17.5703125" style="6" customWidth="1"/>
    <col min="5810" max="5810" width="18.42578125" style="6" customWidth="1"/>
    <col min="5811" max="5811" width="18.85546875" style="6" customWidth="1"/>
    <col min="5812" max="5812" width="19.7109375" style="6" customWidth="1"/>
    <col min="5813" max="5813" width="18" style="6" customWidth="1"/>
    <col min="5814" max="5814" width="19.140625" style="6" customWidth="1"/>
    <col min="5815" max="5815" width="19" style="6" customWidth="1"/>
    <col min="5816" max="5816" width="19.28515625" style="6" customWidth="1"/>
    <col min="5817" max="5818" width="19" style="6" customWidth="1"/>
    <col min="5819" max="5819" width="18.28515625" style="6" customWidth="1"/>
    <col min="5820" max="5820" width="19.5703125" style="6" customWidth="1"/>
    <col min="5821" max="5821" width="20.28515625" style="6" customWidth="1"/>
    <col min="5822" max="5822" width="8.7109375" style="6" customWidth="1"/>
    <col min="5823" max="5823" width="20.42578125" style="6" customWidth="1"/>
    <col min="5824" max="5824" width="18.28515625" style="6" customWidth="1"/>
    <col min="5825" max="5825" width="17.85546875" style="6" customWidth="1"/>
    <col min="5826" max="5826" width="19.28515625" style="6" customWidth="1"/>
    <col min="5827" max="5827" width="18.140625" style="6" customWidth="1"/>
    <col min="5828" max="5828" width="17.85546875" style="6" customWidth="1"/>
    <col min="5829" max="5829" width="18" style="6" customWidth="1"/>
    <col min="5830" max="5830" width="18.28515625" style="6" customWidth="1"/>
    <col min="5831" max="5831" width="19.42578125" style="6" customWidth="1"/>
    <col min="5832" max="5832" width="17.85546875" style="6" customWidth="1"/>
    <col min="5833" max="5833" width="18.85546875" style="6" customWidth="1"/>
    <col min="5834" max="5834" width="17.85546875" style="6" customWidth="1"/>
    <col min="5835" max="5835" width="18.5703125" style="6" customWidth="1"/>
    <col min="5836" max="5836" width="19.140625" style="6" customWidth="1"/>
    <col min="5837" max="5837" width="19.42578125" style="6" customWidth="1"/>
    <col min="5838" max="5838" width="17.7109375" style="6" customWidth="1"/>
    <col min="5839" max="5839" width="19.42578125" style="6" customWidth="1"/>
    <col min="5840" max="5840" width="19.28515625" style="6" customWidth="1"/>
    <col min="5841" max="5841" width="19.85546875" style="6" customWidth="1"/>
    <col min="5842" max="5842" width="12" style="6" customWidth="1"/>
    <col min="5843" max="5843" width="18.5703125" style="6" customWidth="1"/>
    <col min="5844" max="5844" width="17.85546875" style="6" customWidth="1"/>
    <col min="5845" max="5845" width="18.85546875" style="6" customWidth="1"/>
    <col min="5846" max="5846" width="19.140625" style="6" customWidth="1"/>
    <col min="5847" max="5847" width="18.85546875" style="6" customWidth="1"/>
    <col min="5848" max="5849" width="17.7109375" style="6" customWidth="1"/>
    <col min="5850" max="5850" width="19.42578125" style="6" customWidth="1"/>
    <col min="5851" max="5851" width="18.5703125" style="6" customWidth="1"/>
    <col min="5852" max="5852" width="17.140625" style="6" customWidth="1"/>
    <col min="5853" max="5853" width="17" style="6" customWidth="1"/>
    <col min="5854" max="5854" width="16.28515625" style="6" customWidth="1"/>
    <col min="5855" max="5855" width="17.85546875" style="6" customWidth="1"/>
    <col min="5856" max="5856" width="18.5703125" style="6" customWidth="1"/>
    <col min="5857" max="5857" width="17.42578125" style="6" customWidth="1"/>
    <col min="5858" max="5858" width="16.5703125" style="6" customWidth="1"/>
    <col min="5859" max="5859" width="17.28515625" style="6" customWidth="1"/>
    <col min="5860" max="5860" width="19" style="6" customWidth="1"/>
    <col min="5861" max="5861" width="18.5703125" style="6" customWidth="1"/>
    <col min="5862" max="5862" width="9.28515625" style="6" customWidth="1"/>
    <col min="5863" max="5863" width="18.7109375" style="6" customWidth="1"/>
    <col min="5864" max="5870" width="18.5703125" style="6" customWidth="1"/>
    <col min="5871" max="5871" width="20.140625" style="6" customWidth="1"/>
    <col min="5872" max="5872" width="18.5703125" style="6" customWidth="1"/>
    <col min="5873" max="5874" width="0" style="6" hidden="1" customWidth="1"/>
    <col min="5875" max="5875" width="18.5703125" style="6" customWidth="1"/>
    <col min="5876" max="5879" width="0" style="6" hidden="1" customWidth="1"/>
    <col min="5880" max="5880" width="15.5703125" style="6" customWidth="1"/>
    <col min="5881" max="5881" width="19" style="6" customWidth="1"/>
    <col min="5882" max="5882" width="18.5703125" style="6" customWidth="1"/>
    <col min="5883" max="6001" width="11.42578125" style="6"/>
    <col min="6002" max="6002" width="44" style="6" customWidth="1"/>
    <col min="6003" max="6005" width="0" style="6" hidden="1" customWidth="1"/>
    <col min="6006" max="6006" width="12.7109375" style="6" customWidth="1"/>
    <col min="6007" max="6007" width="10.28515625" style="6" bestFit="1" customWidth="1"/>
    <col min="6008" max="6008" width="10.28515625" style="6" customWidth="1"/>
    <col min="6009" max="6009" width="9.7109375" style="6" customWidth="1"/>
    <col min="6010" max="6010" width="12.7109375" style="6" customWidth="1"/>
    <col min="6011" max="6011" width="12" style="6" customWidth="1"/>
    <col min="6012" max="6012" width="11.5703125" style="6" customWidth="1"/>
    <col min="6013" max="6013" width="10" style="6" customWidth="1"/>
    <col min="6014" max="6014" width="9" style="6" customWidth="1"/>
    <col min="6015" max="6015" width="8.7109375" style="6" customWidth="1"/>
    <col min="6016" max="6016" width="9.5703125" style="6" customWidth="1"/>
    <col min="6017" max="6017" width="17.140625" style="6" customWidth="1"/>
    <col min="6018" max="6018" width="8.85546875" style="6" customWidth="1"/>
    <col min="6019" max="6037" width="18.7109375" style="6" customWidth="1"/>
    <col min="6038" max="6038" width="17.5703125" style="6" customWidth="1"/>
    <col min="6039" max="6039" width="21.5703125" style="6" customWidth="1"/>
    <col min="6040" max="6040" width="18.42578125" style="6" customWidth="1"/>
    <col min="6041" max="6041" width="20.140625" style="6" customWidth="1"/>
    <col min="6042" max="6042" width="18.7109375" style="6" customWidth="1"/>
    <col min="6043" max="6043" width="17.7109375" style="6" customWidth="1"/>
    <col min="6044" max="6045" width="18.85546875" style="6" customWidth="1"/>
    <col min="6046" max="6046" width="18.28515625" style="6" customWidth="1"/>
    <col min="6047" max="6047" width="20.140625" style="6" customWidth="1"/>
    <col min="6048" max="6048" width="17.140625" style="6" customWidth="1"/>
    <col min="6049" max="6049" width="17.42578125" style="6" customWidth="1"/>
    <col min="6050" max="6050" width="16.28515625" style="6" customWidth="1"/>
    <col min="6051" max="6051" width="19.28515625" style="6" customWidth="1"/>
    <col min="6052" max="6052" width="18" style="6" customWidth="1"/>
    <col min="6053" max="6053" width="18.28515625" style="6" customWidth="1"/>
    <col min="6054" max="6054" width="17.140625" style="6" customWidth="1"/>
    <col min="6055" max="6055" width="16.7109375" style="6" customWidth="1"/>
    <col min="6056" max="6056" width="17.7109375" style="6" customWidth="1"/>
    <col min="6057" max="6057" width="19.28515625" style="6" customWidth="1"/>
    <col min="6058" max="6058" width="17.28515625" style="6" customWidth="1"/>
    <col min="6059" max="6059" width="17.7109375" style="6" customWidth="1"/>
    <col min="6060" max="6060" width="19.7109375" style="6" customWidth="1"/>
    <col min="6061" max="6061" width="17.28515625" style="6" customWidth="1"/>
    <col min="6062" max="6062" width="18.28515625" style="6" customWidth="1"/>
    <col min="6063" max="6063" width="20.85546875" style="6" customWidth="1"/>
    <col min="6064" max="6064" width="17.28515625" style="6" customWidth="1"/>
    <col min="6065" max="6065" width="17.5703125" style="6" customWidth="1"/>
    <col min="6066" max="6066" width="18.42578125" style="6" customWidth="1"/>
    <col min="6067" max="6067" width="18.85546875" style="6" customWidth="1"/>
    <col min="6068" max="6068" width="19.7109375" style="6" customWidth="1"/>
    <col min="6069" max="6069" width="18" style="6" customWidth="1"/>
    <col min="6070" max="6070" width="19.140625" style="6" customWidth="1"/>
    <col min="6071" max="6071" width="19" style="6" customWidth="1"/>
    <col min="6072" max="6072" width="19.28515625" style="6" customWidth="1"/>
    <col min="6073" max="6074" width="19" style="6" customWidth="1"/>
    <col min="6075" max="6075" width="18.28515625" style="6" customWidth="1"/>
    <col min="6076" max="6076" width="19.5703125" style="6" customWidth="1"/>
    <col min="6077" max="6077" width="20.28515625" style="6" customWidth="1"/>
    <col min="6078" max="6078" width="8.7109375" style="6" customWidth="1"/>
    <col min="6079" max="6079" width="20.42578125" style="6" customWidth="1"/>
    <col min="6080" max="6080" width="18.28515625" style="6" customWidth="1"/>
    <col min="6081" max="6081" width="17.85546875" style="6" customWidth="1"/>
    <col min="6082" max="6082" width="19.28515625" style="6" customWidth="1"/>
    <col min="6083" max="6083" width="18.140625" style="6" customWidth="1"/>
    <col min="6084" max="6084" width="17.85546875" style="6" customWidth="1"/>
    <col min="6085" max="6085" width="18" style="6" customWidth="1"/>
    <col min="6086" max="6086" width="18.28515625" style="6" customWidth="1"/>
    <col min="6087" max="6087" width="19.42578125" style="6" customWidth="1"/>
    <col min="6088" max="6088" width="17.85546875" style="6" customWidth="1"/>
    <col min="6089" max="6089" width="18.85546875" style="6" customWidth="1"/>
    <col min="6090" max="6090" width="17.85546875" style="6" customWidth="1"/>
    <col min="6091" max="6091" width="18.5703125" style="6" customWidth="1"/>
    <col min="6092" max="6092" width="19.140625" style="6" customWidth="1"/>
    <col min="6093" max="6093" width="19.42578125" style="6" customWidth="1"/>
    <col min="6094" max="6094" width="17.7109375" style="6" customWidth="1"/>
    <col min="6095" max="6095" width="19.42578125" style="6" customWidth="1"/>
    <col min="6096" max="6096" width="19.28515625" style="6" customWidth="1"/>
    <col min="6097" max="6097" width="19.85546875" style="6" customWidth="1"/>
    <col min="6098" max="6098" width="12" style="6" customWidth="1"/>
    <col min="6099" max="6099" width="18.5703125" style="6" customWidth="1"/>
    <col min="6100" max="6100" width="17.85546875" style="6" customWidth="1"/>
    <col min="6101" max="6101" width="18.85546875" style="6" customWidth="1"/>
    <col min="6102" max="6102" width="19.140625" style="6" customWidth="1"/>
    <col min="6103" max="6103" width="18.85546875" style="6" customWidth="1"/>
    <col min="6104" max="6105" width="17.7109375" style="6" customWidth="1"/>
    <col min="6106" max="6106" width="19.42578125" style="6" customWidth="1"/>
    <col min="6107" max="6107" width="18.5703125" style="6" customWidth="1"/>
    <col min="6108" max="6108" width="17.140625" style="6" customWidth="1"/>
    <col min="6109" max="6109" width="17" style="6" customWidth="1"/>
    <col min="6110" max="6110" width="16.28515625" style="6" customWidth="1"/>
    <col min="6111" max="6111" width="17.85546875" style="6" customWidth="1"/>
    <col min="6112" max="6112" width="18.5703125" style="6" customWidth="1"/>
    <col min="6113" max="6113" width="17.42578125" style="6" customWidth="1"/>
    <col min="6114" max="6114" width="16.5703125" style="6" customWidth="1"/>
    <col min="6115" max="6115" width="17.28515625" style="6" customWidth="1"/>
    <col min="6116" max="6116" width="19" style="6" customWidth="1"/>
    <col min="6117" max="6117" width="18.5703125" style="6" customWidth="1"/>
    <col min="6118" max="6118" width="9.28515625" style="6" customWidth="1"/>
    <col min="6119" max="6119" width="18.7109375" style="6" customWidth="1"/>
    <col min="6120" max="6126" width="18.5703125" style="6" customWidth="1"/>
    <col min="6127" max="6127" width="20.140625" style="6" customWidth="1"/>
    <col min="6128" max="6128" width="18.5703125" style="6" customWidth="1"/>
    <col min="6129" max="6130" width="0" style="6" hidden="1" customWidth="1"/>
    <col min="6131" max="6131" width="18.5703125" style="6" customWidth="1"/>
    <col min="6132" max="6135" width="0" style="6" hidden="1" customWidth="1"/>
    <col min="6136" max="6136" width="15.5703125" style="6" customWidth="1"/>
    <col min="6137" max="6137" width="19" style="6" customWidth="1"/>
    <col min="6138" max="6138" width="18.5703125" style="6" customWidth="1"/>
    <col min="6139" max="6257" width="11.42578125" style="6"/>
    <col min="6258" max="6258" width="44" style="6" customWidth="1"/>
    <col min="6259" max="6261" width="0" style="6" hidden="1" customWidth="1"/>
    <col min="6262" max="6262" width="12.7109375" style="6" customWidth="1"/>
    <col min="6263" max="6263" width="10.28515625" style="6" bestFit="1" customWidth="1"/>
    <col min="6264" max="6264" width="10.28515625" style="6" customWidth="1"/>
    <col min="6265" max="6265" width="9.7109375" style="6" customWidth="1"/>
    <col min="6266" max="6266" width="12.7109375" style="6" customWidth="1"/>
    <col min="6267" max="6267" width="12" style="6" customWidth="1"/>
    <col min="6268" max="6268" width="11.5703125" style="6" customWidth="1"/>
    <col min="6269" max="6269" width="10" style="6" customWidth="1"/>
    <col min="6270" max="6270" width="9" style="6" customWidth="1"/>
    <col min="6271" max="6271" width="8.7109375" style="6" customWidth="1"/>
    <col min="6272" max="6272" width="9.5703125" style="6" customWidth="1"/>
    <col min="6273" max="6273" width="17.140625" style="6" customWidth="1"/>
    <col min="6274" max="6274" width="8.85546875" style="6" customWidth="1"/>
    <col min="6275" max="6293" width="18.7109375" style="6" customWidth="1"/>
    <col min="6294" max="6294" width="17.5703125" style="6" customWidth="1"/>
    <col min="6295" max="6295" width="21.5703125" style="6" customWidth="1"/>
    <col min="6296" max="6296" width="18.42578125" style="6" customWidth="1"/>
    <col min="6297" max="6297" width="20.140625" style="6" customWidth="1"/>
    <col min="6298" max="6298" width="18.7109375" style="6" customWidth="1"/>
    <col min="6299" max="6299" width="17.7109375" style="6" customWidth="1"/>
    <col min="6300" max="6301" width="18.85546875" style="6" customWidth="1"/>
    <col min="6302" max="6302" width="18.28515625" style="6" customWidth="1"/>
    <col min="6303" max="6303" width="20.140625" style="6" customWidth="1"/>
    <col min="6304" max="6304" width="17.140625" style="6" customWidth="1"/>
    <col min="6305" max="6305" width="17.42578125" style="6" customWidth="1"/>
    <col min="6306" max="6306" width="16.28515625" style="6" customWidth="1"/>
    <col min="6307" max="6307" width="19.28515625" style="6" customWidth="1"/>
    <col min="6308" max="6308" width="18" style="6" customWidth="1"/>
    <col min="6309" max="6309" width="18.28515625" style="6" customWidth="1"/>
    <col min="6310" max="6310" width="17.140625" style="6" customWidth="1"/>
    <col min="6311" max="6311" width="16.7109375" style="6" customWidth="1"/>
    <col min="6312" max="6312" width="17.7109375" style="6" customWidth="1"/>
    <col min="6313" max="6313" width="19.28515625" style="6" customWidth="1"/>
    <col min="6314" max="6314" width="17.28515625" style="6" customWidth="1"/>
    <col min="6315" max="6315" width="17.7109375" style="6" customWidth="1"/>
    <col min="6316" max="6316" width="19.7109375" style="6" customWidth="1"/>
    <col min="6317" max="6317" width="17.28515625" style="6" customWidth="1"/>
    <col min="6318" max="6318" width="18.28515625" style="6" customWidth="1"/>
    <col min="6319" max="6319" width="20.85546875" style="6" customWidth="1"/>
    <col min="6320" max="6320" width="17.28515625" style="6" customWidth="1"/>
    <col min="6321" max="6321" width="17.5703125" style="6" customWidth="1"/>
    <col min="6322" max="6322" width="18.42578125" style="6" customWidth="1"/>
    <col min="6323" max="6323" width="18.85546875" style="6" customWidth="1"/>
    <col min="6324" max="6324" width="19.7109375" style="6" customWidth="1"/>
    <col min="6325" max="6325" width="18" style="6" customWidth="1"/>
    <col min="6326" max="6326" width="19.140625" style="6" customWidth="1"/>
    <col min="6327" max="6327" width="19" style="6" customWidth="1"/>
    <col min="6328" max="6328" width="19.28515625" style="6" customWidth="1"/>
    <col min="6329" max="6330" width="19" style="6" customWidth="1"/>
    <col min="6331" max="6331" width="18.28515625" style="6" customWidth="1"/>
    <col min="6332" max="6332" width="19.5703125" style="6" customWidth="1"/>
    <col min="6333" max="6333" width="20.28515625" style="6" customWidth="1"/>
    <col min="6334" max="6334" width="8.7109375" style="6" customWidth="1"/>
    <col min="6335" max="6335" width="20.42578125" style="6" customWidth="1"/>
    <col min="6336" max="6336" width="18.28515625" style="6" customWidth="1"/>
    <col min="6337" max="6337" width="17.85546875" style="6" customWidth="1"/>
    <col min="6338" max="6338" width="19.28515625" style="6" customWidth="1"/>
    <col min="6339" max="6339" width="18.140625" style="6" customWidth="1"/>
    <col min="6340" max="6340" width="17.85546875" style="6" customWidth="1"/>
    <col min="6341" max="6341" width="18" style="6" customWidth="1"/>
    <col min="6342" max="6342" width="18.28515625" style="6" customWidth="1"/>
    <col min="6343" max="6343" width="19.42578125" style="6" customWidth="1"/>
    <col min="6344" max="6344" width="17.85546875" style="6" customWidth="1"/>
    <col min="6345" max="6345" width="18.85546875" style="6" customWidth="1"/>
    <col min="6346" max="6346" width="17.85546875" style="6" customWidth="1"/>
    <col min="6347" max="6347" width="18.5703125" style="6" customWidth="1"/>
    <col min="6348" max="6348" width="19.140625" style="6" customWidth="1"/>
    <col min="6349" max="6349" width="19.42578125" style="6" customWidth="1"/>
    <col min="6350" max="6350" width="17.7109375" style="6" customWidth="1"/>
    <col min="6351" max="6351" width="19.42578125" style="6" customWidth="1"/>
    <col min="6352" max="6352" width="19.28515625" style="6" customWidth="1"/>
    <col min="6353" max="6353" width="19.85546875" style="6" customWidth="1"/>
    <col min="6354" max="6354" width="12" style="6" customWidth="1"/>
    <col min="6355" max="6355" width="18.5703125" style="6" customWidth="1"/>
    <col min="6356" max="6356" width="17.85546875" style="6" customWidth="1"/>
    <col min="6357" max="6357" width="18.85546875" style="6" customWidth="1"/>
    <col min="6358" max="6358" width="19.140625" style="6" customWidth="1"/>
    <col min="6359" max="6359" width="18.85546875" style="6" customWidth="1"/>
    <col min="6360" max="6361" width="17.7109375" style="6" customWidth="1"/>
    <col min="6362" max="6362" width="19.42578125" style="6" customWidth="1"/>
    <col min="6363" max="6363" width="18.5703125" style="6" customWidth="1"/>
    <col min="6364" max="6364" width="17.140625" style="6" customWidth="1"/>
    <col min="6365" max="6365" width="17" style="6" customWidth="1"/>
    <col min="6366" max="6366" width="16.28515625" style="6" customWidth="1"/>
    <col min="6367" max="6367" width="17.85546875" style="6" customWidth="1"/>
    <col min="6368" max="6368" width="18.5703125" style="6" customWidth="1"/>
    <col min="6369" max="6369" width="17.42578125" style="6" customWidth="1"/>
    <col min="6370" max="6370" width="16.5703125" style="6" customWidth="1"/>
    <col min="6371" max="6371" width="17.28515625" style="6" customWidth="1"/>
    <col min="6372" max="6372" width="19" style="6" customWidth="1"/>
    <col min="6373" max="6373" width="18.5703125" style="6" customWidth="1"/>
    <col min="6374" max="6374" width="9.28515625" style="6" customWidth="1"/>
    <col min="6375" max="6375" width="18.7109375" style="6" customWidth="1"/>
    <col min="6376" max="6382" width="18.5703125" style="6" customWidth="1"/>
    <col min="6383" max="6383" width="20.140625" style="6" customWidth="1"/>
    <col min="6384" max="6384" width="18.5703125" style="6" customWidth="1"/>
    <col min="6385" max="6386" width="0" style="6" hidden="1" customWidth="1"/>
    <col min="6387" max="6387" width="18.5703125" style="6" customWidth="1"/>
    <col min="6388" max="6391" width="0" style="6" hidden="1" customWidth="1"/>
    <col min="6392" max="6392" width="15.5703125" style="6" customWidth="1"/>
    <col min="6393" max="6393" width="19" style="6" customWidth="1"/>
    <col min="6394" max="6394" width="18.5703125" style="6" customWidth="1"/>
    <col min="6395" max="6513" width="11.42578125" style="6"/>
    <col min="6514" max="6514" width="44" style="6" customWidth="1"/>
    <col min="6515" max="6517" width="0" style="6" hidden="1" customWidth="1"/>
    <col min="6518" max="6518" width="12.7109375" style="6" customWidth="1"/>
    <col min="6519" max="6519" width="10.28515625" style="6" bestFit="1" customWidth="1"/>
    <col min="6520" max="6520" width="10.28515625" style="6" customWidth="1"/>
    <col min="6521" max="6521" width="9.7109375" style="6" customWidth="1"/>
    <col min="6522" max="6522" width="12.7109375" style="6" customWidth="1"/>
    <col min="6523" max="6523" width="12" style="6" customWidth="1"/>
    <col min="6524" max="6524" width="11.5703125" style="6" customWidth="1"/>
    <col min="6525" max="6525" width="10" style="6" customWidth="1"/>
    <col min="6526" max="6526" width="9" style="6" customWidth="1"/>
    <col min="6527" max="6527" width="8.7109375" style="6" customWidth="1"/>
    <col min="6528" max="6528" width="9.5703125" style="6" customWidth="1"/>
    <col min="6529" max="6529" width="17.140625" style="6" customWidth="1"/>
    <col min="6530" max="6530" width="8.85546875" style="6" customWidth="1"/>
    <col min="6531" max="6549" width="18.7109375" style="6" customWidth="1"/>
    <col min="6550" max="6550" width="17.5703125" style="6" customWidth="1"/>
    <col min="6551" max="6551" width="21.5703125" style="6" customWidth="1"/>
    <col min="6552" max="6552" width="18.42578125" style="6" customWidth="1"/>
    <col min="6553" max="6553" width="20.140625" style="6" customWidth="1"/>
    <col min="6554" max="6554" width="18.7109375" style="6" customWidth="1"/>
    <col min="6555" max="6555" width="17.7109375" style="6" customWidth="1"/>
    <col min="6556" max="6557" width="18.85546875" style="6" customWidth="1"/>
    <col min="6558" max="6558" width="18.28515625" style="6" customWidth="1"/>
    <col min="6559" max="6559" width="20.140625" style="6" customWidth="1"/>
    <col min="6560" max="6560" width="17.140625" style="6" customWidth="1"/>
    <col min="6561" max="6561" width="17.42578125" style="6" customWidth="1"/>
    <col min="6562" max="6562" width="16.28515625" style="6" customWidth="1"/>
    <col min="6563" max="6563" width="19.28515625" style="6" customWidth="1"/>
    <col min="6564" max="6564" width="18" style="6" customWidth="1"/>
    <col min="6565" max="6565" width="18.28515625" style="6" customWidth="1"/>
    <col min="6566" max="6566" width="17.140625" style="6" customWidth="1"/>
    <col min="6567" max="6567" width="16.7109375" style="6" customWidth="1"/>
    <col min="6568" max="6568" width="17.7109375" style="6" customWidth="1"/>
    <col min="6569" max="6569" width="19.28515625" style="6" customWidth="1"/>
    <col min="6570" max="6570" width="17.28515625" style="6" customWidth="1"/>
    <col min="6571" max="6571" width="17.7109375" style="6" customWidth="1"/>
    <col min="6572" max="6572" width="19.7109375" style="6" customWidth="1"/>
    <col min="6573" max="6573" width="17.28515625" style="6" customWidth="1"/>
    <col min="6574" max="6574" width="18.28515625" style="6" customWidth="1"/>
    <col min="6575" max="6575" width="20.85546875" style="6" customWidth="1"/>
    <col min="6576" max="6576" width="17.28515625" style="6" customWidth="1"/>
    <col min="6577" max="6577" width="17.5703125" style="6" customWidth="1"/>
    <col min="6578" max="6578" width="18.42578125" style="6" customWidth="1"/>
    <col min="6579" max="6579" width="18.85546875" style="6" customWidth="1"/>
    <col min="6580" max="6580" width="19.7109375" style="6" customWidth="1"/>
    <col min="6581" max="6581" width="18" style="6" customWidth="1"/>
    <col min="6582" max="6582" width="19.140625" style="6" customWidth="1"/>
    <col min="6583" max="6583" width="19" style="6" customWidth="1"/>
    <col min="6584" max="6584" width="19.28515625" style="6" customWidth="1"/>
    <col min="6585" max="6586" width="19" style="6" customWidth="1"/>
    <col min="6587" max="6587" width="18.28515625" style="6" customWidth="1"/>
    <col min="6588" max="6588" width="19.5703125" style="6" customWidth="1"/>
    <col min="6589" max="6589" width="20.28515625" style="6" customWidth="1"/>
    <col min="6590" max="6590" width="8.7109375" style="6" customWidth="1"/>
    <col min="6591" max="6591" width="20.42578125" style="6" customWidth="1"/>
    <col min="6592" max="6592" width="18.28515625" style="6" customWidth="1"/>
    <col min="6593" max="6593" width="17.85546875" style="6" customWidth="1"/>
    <col min="6594" max="6594" width="19.28515625" style="6" customWidth="1"/>
    <col min="6595" max="6595" width="18.140625" style="6" customWidth="1"/>
    <col min="6596" max="6596" width="17.85546875" style="6" customWidth="1"/>
    <col min="6597" max="6597" width="18" style="6" customWidth="1"/>
    <col min="6598" max="6598" width="18.28515625" style="6" customWidth="1"/>
    <col min="6599" max="6599" width="19.42578125" style="6" customWidth="1"/>
    <col min="6600" max="6600" width="17.85546875" style="6" customWidth="1"/>
    <col min="6601" max="6601" width="18.85546875" style="6" customWidth="1"/>
    <col min="6602" max="6602" width="17.85546875" style="6" customWidth="1"/>
    <col min="6603" max="6603" width="18.5703125" style="6" customWidth="1"/>
    <col min="6604" max="6604" width="19.140625" style="6" customWidth="1"/>
    <col min="6605" max="6605" width="19.42578125" style="6" customWidth="1"/>
    <col min="6606" max="6606" width="17.7109375" style="6" customWidth="1"/>
    <col min="6607" max="6607" width="19.42578125" style="6" customWidth="1"/>
    <col min="6608" max="6608" width="19.28515625" style="6" customWidth="1"/>
    <col min="6609" max="6609" width="19.85546875" style="6" customWidth="1"/>
    <col min="6610" max="6610" width="12" style="6" customWidth="1"/>
    <col min="6611" max="6611" width="18.5703125" style="6" customWidth="1"/>
    <col min="6612" max="6612" width="17.85546875" style="6" customWidth="1"/>
    <col min="6613" max="6613" width="18.85546875" style="6" customWidth="1"/>
    <col min="6614" max="6614" width="19.140625" style="6" customWidth="1"/>
    <col min="6615" max="6615" width="18.85546875" style="6" customWidth="1"/>
    <col min="6616" max="6617" width="17.7109375" style="6" customWidth="1"/>
    <col min="6618" max="6618" width="19.42578125" style="6" customWidth="1"/>
    <col min="6619" max="6619" width="18.5703125" style="6" customWidth="1"/>
    <col min="6620" max="6620" width="17.140625" style="6" customWidth="1"/>
    <col min="6621" max="6621" width="17" style="6" customWidth="1"/>
    <col min="6622" max="6622" width="16.28515625" style="6" customWidth="1"/>
    <col min="6623" max="6623" width="17.85546875" style="6" customWidth="1"/>
    <col min="6624" max="6624" width="18.5703125" style="6" customWidth="1"/>
    <col min="6625" max="6625" width="17.42578125" style="6" customWidth="1"/>
    <col min="6626" max="6626" width="16.5703125" style="6" customWidth="1"/>
    <col min="6627" max="6627" width="17.28515625" style="6" customWidth="1"/>
    <col min="6628" max="6628" width="19" style="6" customWidth="1"/>
    <col min="6629" max="6629" width="18.5703125" style="6" customWidth="1"/>
    <col min="6630" max="6630" width="9.28515625" style="6" customWidth="1"/>
    <col min="6631" max="6631" width="18.7109375" style="6" customWidth="1"/>
    <col min="6632" max="6638" width="18.5703125" style="6" customWidth="1"/>
    <col min="6639" max="6639" width="20.140625" style="6" customWidth="1"/>
    <col min="6640" max="6640" width="18.5703125" style="6" customWidth="1"/>
    <col min="6641" max="6642" width="0" style="6" hidden="1" customWidth="1"/>
    <col min="6643" max="6643" width="18.5703125" style="6" customWidth="1"/>
    <col min="6644" max="6647" width="0" style="6" hidden="1" customWidth="1"/>
    <col min="6648" max="6648" width="15.5703125" style="6" customWidth="1"/>
    <col min="6649" max="6649" width="19" style="6" customWidth="1"/>
    <col min="6650" max="6650" width="18.5703125" style="6" customWidth="1"/>
    <col min="6651" max="6769" width="11.42578125" style="6"/>
    <col min="6770" max="6770" width="44" style="6" customWidth="1"/>
    <col min="6771" max="6773" width="0" style="6" hidden="1" customWidth="1"/>
    <col min="6774" max="6774" width="12.7109375" style="6" customWidth="1"/>
    <col min="6775" max="6775" width="10.28515625" style="6" bestFit="1" customWidth="1"/>
    <col min="6776" max="6776" width="10.28515625" style="6" customWidth="1"/>
    <col min="6777" max="6777" width="9.7109375" style="6" customWidth="1"/>
    <col min="6778" max="6778" width="12.7109375" style="6" customWidth="1"/>
    <col min="6779" max="6779" width="12" style="6" customWidth="1"/>
    <col min="6780" max="6780" width="11.5703125" style="6" customWidth="1"/>
    <col min="6781" max="6781" width="10" style="6" customWidth="1"/>
    <col min="6782" max="6782" width="9" style="6" customWidth="1"/>
    <col min="6783" max="6783" width="8.7109375" style="6" customWidth="1"/>
    <col min="6784" max="6784" width="9.5703125" style="6" customWidth="1"/>
    <col min="6785" max="6785" width="17.140625" style="6" customWidth="1"/>
    <col min="6786" max="6786" width="8.85546875" style="6" customWidth="1"/>
    <col min="6787" max="6805" width="18.7109375" style="6" customWidth="1"/>
    <col min="6806" max="6806" width="17.5703125" style="6" customWidth="1"/>
    <col min="6807" max="6807" width="21.5703125" style="6" customWidth="1"/>
    <col min="6808" max="6808" width="18.42578125" style="6" customWidth="1"/>
    <col min="6809" max="6809" width="20.140625" style="6" customWidth="1"/>
    <col min="6810" max="6810" width="18.7109375" style="6" customWidth="1"/>
    <col min="6811" max="6811" width="17.7109375" style="6" customWidth="1"/>
    <col min="6812" max="6813" width="18.85546875" style="6" customWidth="1"/>
    <col min="6814" max="6814" width="18.28515625" style="6" customWidth="1"/>
    <col min="6815" max="6815" width="20.140625" style="6" customWidth="1"/>
    <col min="6816" max="6816" width="17.140625" style="6" customWidth="1"/>
    <col min="6817" max="6817" width="17.42578125" style="6" customWidth="1"/>
    <col min="6818" max="6818" width="16.28515625" style="6" customWidth="1"/>
    <col min="6819" max="6819" width="19.28515625" style="6" customWidth="1"/>
    <col min="6820" max="6820" width="18" style="6" customWidth="1"/>
    <col min="6821" max="6821" width="18.28515625" style="6" customWidth="1"/>
    <col min="6822" max="6822" width="17.140625" style="6" customWidth="1"/>
    <col min="6823" max="6823" width="16.7109375" style="6" customWidth="1"/>
    <col min="6824" max="6824" width="17.7109375" style="6" customWidth="1"/>
    <col min="6825" max="6825" width="19.28515625" style="6" customWidth="1"/>
    <col min="6826" max="6826" width="17.28515625" style="6" customWidth="1"/>
    <col min="6827" max="6827" width="17.7109375" style="6" customWidth="1"/>
    <col min="6828" max="6828" width="19.7109375" style="6" customWidth="1"/>
    <col min="6829" max="6829" width="17.28515625" style="6" customWidth="1"/>
    <col min="6830" max="6830" width="18.28515625" style="6" customWidth="1"/>
    <col min="6831" max="6831" width="20.85546875" style="6" customWidth="1"/>
    <col min="6832" max="6832" width="17.28515625" style="6" customWidth="1"/>
    <col min="6833" max="6833" width="17.5703125" style="6" customWidth="1"/>
    <col min="6834" max="6834" width="18.42578125" style="6" customWidth="1"/>
    <col min="6835" max="6835" width="18.85546875" style="6" customWidth="1"/>
    <col min="6836" max="6836" width="19.7109375" style="6" customWidth="1"/>
    <col min="6837" max="6837" width="18" style="6" customWidth="1"/>
    <col min="6838" max="6838" width="19.140625" style="6" customWidth="1"/>
    <col min="6839" max="6839" width="19" style="6" customWidth="1"/>
    <col min="6840" max="6840" width="19.28515625" style="6" customWidth="1"/>
    <col min="6841" max="6842" width="19" style="6" customWidth="1"/>
    <col min="6843" max="6843" width="18.28515625" style="6" customWidth="1"/>
    <col min="6844" max="6844" width="19.5703125" style="6" customWidth="1"/>
    <col min="6845" max="6845" width="20.28515625" style="6" customWidth="1"/>
    <col min="6846" max="6846" width="8.7109375" style="6" customWidth="1"/>
    <col min="6847" max="6847" width="20.42578125" style="6" customWidth="1"/>
    <col min="6848" max="6848" width="18.28515625" style="6" customWidth="1"/>
    <col min="6849" max="6849" width="17.85546875" style="6" customWidth="1"/>
    <col min="6850" max="6850" width="19.28515625" style="6" customWidth="1"/>
    <col min="6851" max="6851" width="18.140625" style="6" customWidth="1"/>
    <col min="6852" max="6852" width="17.85546875" style="6" customWidth="1"/>
    <col min="6853" max="6853" width="18" style="6" customWidth="1"/>
    <col min="6854" max="6854" width="18.28515625" style="6" customWidth="1"/>
    <col min="6855" max="6855" width="19.42578125" style="6" customWidth="1"/>
    <col min="6856" max="6856" width="17.85546875" style="6" customWidth="1"/>
    <col min="6857" max="6857" width="18.85546875" style="6" customWidth="1"/>
    <col min="6858" max="6858" width="17.85546875" style="6" customWidth="1"/>
    <col min="6859" max="6859" width="18.5703125" style="6" customWidth="1"/>
    <col min="6860" max="6860" width="19.140625" style="6" customWidth="1"/>
    <col min="6861" max="6861" width="19.42578125" style="6" customWidth="1"/>
    <col min="6862" max="6862" width="17.7109375" style="6" customWidth="1"/>
    <col min="6863" max="6863" width="19.42578125" style="6" customWidth="1"/>
    <col min="6864" max="6864" width="19.28515625" style="6" customWidth="1"/>
    <col min="6865" max="6865" width="19.85546875" style="6" customWidth="1"/>
    <col min="6866" max="6866" width="12" style="6" customWidth="1"/>
    <col min="6867" max="6867" width="18.5703125" style="6" customWidth="1"/>
    <col min="6868" max="6868" width="17.85546875" style="6" customWidth="1"/>
    <col min="6869" max="6869" width="18.85546875" style="6" customWidth="1"/>
    <col min="6870" max="6870" width="19.140625" style="6" customWidth="1"/>
    <col min="6871" max="6871" width="18.85546875" style="6" customWidth="1"/>
    <col min="6872" max="6873" width="17.7109375" style="6" customWidth="1"/>
    <col min="6874" max="6874" width="19.42578125" style="6" customWidth="1"/>
    <col min="6875" max="6875" width="18.5703125" style="6" customWidth="1"/>
    <col min="6876" max="6876" width="17.140625" style="6" customWidth="1"/>
    <col min="6877" max="6877" width="17" style="6" customWidth="1"/>
    <col min="6878" max="6878" width="16.28515625" style="6" customWidth="1"/>
    <col min="6879" max="6879" width="17.85546875" style="6" customWidth="1"/>
    <col min="6880" max="6880" width="18.5703125" style="6" customWidth="1"/>
    <col min="6881" max="6881" width="17.42578125" style="6" customWidth="1"/>
    <col min="6882" max="6882" width="16.5703125" style="6" customWidth="1"/>
    <col min="6883" max="6883" width="17.28515625" style="6" customWidth="1"/>
    <col min="6884" max="6884" width="19" style="6" customWidth="1"/>
    <col min="6885" max="6885" width="18.5703125" style="6" customWidth="1"/>
    <col min="6886" max="6886" width="9.28515625" style="6" customWidth="1"/>
    <col min="6887" max="6887" width="18.7109375" style="6" customWidth="1"/>
    <col min="6888" max="6894" width="18.5703125" style="6" customWidth="1"/>
    <col min="6895" max="6895" width="20.140625" style="6" customWidth="1"/>
    <col min="6896" max="6896" width="18.5703125" style="6" customWidth="1"/>
    <col min="6897" max="6898" width="0" style="6" hidden="1" customWidth="1"/>
    <col min="6899" max="6899" width="18.5703125" style="6" customWidth="1"/>
    <col min="6900" max="6903" width="0" style="6" hidden="1" customWidth="1"/>
    <col min="6904" max="6904" width="15.5703125" style="6" customWidth="1"/>
    <col min="6905" max="6905" width="19" style="6" customWidth="1"/>
    <col min="6906" max="6906" width="18.5703125" style="6" customWidth="1"/>
    <col min="6907" max="7025" width="11.42578125" style="6"/>
    <col min="7026" max="7026" width="44" style="6" customWidth="1"/>
    <col min="7027" max="7029" width="0" style="6" hidden="1" customWidth="1"/>
    <col min="7030" max="7030" width="12.7109375" style="6" customWidth="1"/>
    <col min="7031" max="7031" width="10.28515625" style="6" bestFit="1" customWidth="1"/>
    <col min="7032" max="7032" width="10.28515625" style="6" customWidth="1"/>
    <col min="7033" max="7033" width="9.7109375" style="6" customWidth="1"/>
    <col min="7034" max="7034" width="12.7109375" style="6" customWidth="1"/>
    <col min="7035" max="7035" width="12" style="6" customWidth="1"/>
    <col min="7036" max="7036" width="11.5703125" style="6" customWidth="1"/>
    <col min="7037" max="7037" width="10" style="6" customWidth="1"/>
    <col min="7038" max="7038" width="9" style="6" customWidth="1"/>
    <col min="7039" max="7039" width="8.7109375" style="6" customWidth="1"/>
    <col min="7040" max="7040" width="9.5703125" style="6" customWidth="1"/>
    <col min="7041" max="7041" width="17.140625" style="6" customWidth="1"/>
    <col min="7042" max="7042" width="8.85546875" style="6" customWidth="1"/>
    <col min="7043" max="7061" width="18.7109375" style="6" customWidth="1"/>
    <col min="7062" max="7062" width="17.5703125" style="6" customWidth="1"/>
    <col min="7063" max="7063" width="21.5703125" style="6" customWidth="1"/>
    <col min="7064" max="7064" width="18.42578125" style="6" customWidth="1"/>
    <col min="7065" max="7065" width="20.140625" style="6" customWidth="1"/>
    <col min="7066" max="7066" width="18.7109375" style="6" customWidth="1"/>
    <col min="7067" max="7067" width="17.7109375" style="6" customWidth="1"/>
    <col min="7068" max="7069" width="18.85546875" style="6" customWidth="1"/>
    <col min="7070" max="7070" width="18.28515625" style="6" customWidth="1"/>
    <col min="7071" max="7071" width="20.140625" style="6" customWidth="1"/>
    <col min="7072" max="7072" width="17.140625" style="6" customWidth="1"/>
    <col min="7073" max="7073" width="17.42578125" style="6" customWidth="1"/>
    <col min="7074" max="7074" width="16.28515625" style="6" customWidth="1"/>
    <col min="7075" max="7075" width="19.28515625" style="6" customWidth="1"/>
    <col min="7076" max="7076" width="18" style="6" customWidth="1"/>
    <col min="7077" max="7077" width="18.28515625" style="6" customWidth="1"/>
    <col min="7078" max="7078" width="17.140625" style="6" customWidth="1"/>
    <col min="7079" max="7079" width="16.7109375" style="6" customWidth="1"/>
    <col min="7080" max="7080" width="17.7109375" style="6" customWidth="1"/>
    <col min="7081" max="7081" width="19.28515625" style="6" customWidth="1"/>
    <col min="7082" max="7082" width="17.28515625" style="6" customWidth="1"/>
    <col min="7083" max="7083" width="17.7109375" style="6" customWidth="1"/>
    <col min="7084" max="7084" width="19.7109375" style="6" customWidth="1"/>
    <col min="7085" max="7085" width="17.28515625" style="6" customWidth="1"/>
    <col min="7086" max="7086" width="18.28515625" style="6" customWidth="1"/>
    <col min="7087" max="7087" width="20.85546875" style="6" customWidth="1"/>
    <col min="7088" max="7088" width="17.28515625" style="6" customWidth="1"/>
    <col min="7089" max="7089" width="17.5703125" style="6" customWidth="1"/>
    <col min="7090" max="7090" width="18.42578125" style="6" customWidth="1"/>
    <col min="7091" max="7091" width="18.85546875" style="6" customWidth="1"/>
    <col min="7092" max="7092" width="19.7109375" style="6" customWidth="1"/>
    <col min="7093" max="7093" width="18" style="6" customWidth="1"/>
    <col min="7094" max="7094" width="19.140625" style="6" customWidth="1"/>
    <col min="7095" max="7095" width="19" style="6" customWidth="1"/>
    <col min="7096" max="7096" width="19.28515625" style="6" customWidth="1"/>
    <col min="7097" max="7098" width="19" style="6" customWidth="1"/>
    <col min="7099" max="7099" width="18.28515625" style="6" customWidth="1"/>
    <col min="7100" max="7100" width="19.5703125" style="6" customWidth="1"/>
    <col min="7101" max="7101" width="20.28515625" style="6" customWidth="1"/>
    <col min="7102" max="7102" width="8.7109375" style="6" customWidth="1"/>
    <col min="7103" max="7103" width="20.42578125" style="6" customWidth="1"/>
    <col min="7104" max="7104" width="18.28515625" style="6" customWidth="1"/>
    <col min="7105" max="7105" width="17.85546875" style="6" customWidth="1"/>
    <col min="7106" max="7106" width="19.28515625" style="6" customWidth="1"/>
    <col min="7107" max="7107" width="18.140625" style="6" customWidth="1"/>
    <col min="7108" max="7108" width="17.85546875" style="6" customWidth="1"/>
    <col min="7109" max="7109" width="18" style="6" customWidth="1"/>
    <col min="7110" max="7110" width="18.28515625" style="6" customWidth="1"/>
    <col min="7111" max="7111" width="19.42578125" style="6" customWidth="1"/>
    <col min="7112" max="7112" width="17.85546875" style="6" customWidth="1"/>
    <col min="7113" max="7113" width="18.85546875" style="6" customWidth="1"/>
    <col min="7114" max="7114" width="17.85546875" style="6" customWidth="1"/>
    <col min="7115" max="7115" width="18.5703125" style="6" customWidth="1"/>
    <col min="7116" max="7116" width="19.140625" style="6" customWidth="1"/>
    <col min="7117" max="7117" width="19.42578125" style="6" customWidth="1"/>
    <col min="7118" max="7118" width="17.7109375" style="6" customWidth="1"/>
    <col min="7119" max="7119" width="19.42578125" style="6" customWidth="1"/>
    <col min="7120" max="7120" width="19.28515625" style="6" customWidth="1"/>
    <col min="7121" max="7121" width="19.85546875" style="6" customWidth="1"/>
    <col min="7122" max="7122" width="12" style="6" customWidth="1"/>
    <col min="7123" max="7123" width="18.5703125" style="6" customWidth="1"/>
    <col min="7124" max="7124" width="17.85546875" style="6" customWidth="1"/>
    <col min="7125" max="7125" width="18.85546875" style="6" customWidth="1"/>
    <col min="7126" max="7126" width="19.140625" style="6" customWidth="1"/>
    <col min="7127" max="7127" width="18.85546875" style="6" customWidth="1"/>
    <col min="7128" max="7129" width="17.7109375" style="6" customWidth="1"/>
    <col min="7130" max="7130" width="19.42578125" style="6" customWidth="1"/>
    <col min="7131" max="7131" width="18.5703125" style="6" customWidth="1"/>
    <col min="7132" max="7132" width="17.140625" style="6" customWidth="1"/>
    <col min="7133" max="7133" width="17" style="6" customWidth="1"/>
    <col min="7134" max="7134" width="16.28515625" style="6" customWidth="1"/>
    <col min="7135" max="7135" width="17.85546875" style="6" customWidth="1"/>
    <col min="7136" max="7136" width="18.5703125" style="6" customWidth="1"/>
    <col min="7137" max="7137" width="17.42578125" style="6" customWidth="1"/>
    <col min="7138" max="7138" width="16.5703125" style="6" customWidth="1"/>
    <col min="7139" max="7139" width="17.28515625" style="6" customWidth="1"/>
    <col min="7140" max="7140" width="19" style="6" customWidth="1"/>
    <col min="7141" max="7141" width="18.5703125" style="6" customWidth="1"/>
    <col min="7142" max="7142" width="9.28515625" style="6" customWidth="1"/>
    <col min="7143" max="7143" width="18.7109375" style="6" customWidth="1"/>
    <col min="7144" max="7150" width="18.5703125" style="6" customWidth="1"/>
    <col min="7151" max="7151" width="20.140625" style="6" customWidth="1"/>
    <col min="7152" max="7152" width="18.5703125" style="6" customWidth="1"/>
    <col min="7153" max="7154" width="0" style="6" hidden="1" customWidth="1"/>
    <col min="7155" max="7155" width="18.5703125" style="6" customWidth="1"/>
    <col min="7156" max="7159" width="0" style="6" hidden="1" customWidth="1"/>
    <col min="7160" max="7160" width="15.5703125" style="6" customWidth="1"/>
    <col min="7161" max="7161" width="19" style="6" customWidth="1"/>
    <col min="7162" max="7162" width="18.5703125" style="6" customWidth="1"/>
    <col min="7163" max="7281" width="11.42578125" style="6"/>
    <col min="7282" max="7282" width="44" style="6" customWidth="1"/>
    <col min="7283" max="7285" width="0" style="6" hidden="1" customWidth="1"/>
    <col min="7286" max="7286" width="12.7109375" style="6" customWidth="1"/>
    <col min="7287" max="7287" width="10.28515625" style="6" bestFit="1" customWidth="1"/>
    <col min="7288" max="7288" width="10.28515625" style="6" customWidth="1"/>
    <col min="7289" max="7289" width="9.7109375" style="6" customWidth="1"/>
    <col min="7290" max="7290" width="12.7109375" style="6" customWidth="1"/>
    <col min="7291" max="7291" width="12" style="6" customWidth="1"/>
    <col min="7292" max="7292" width="11.5703125" style="6" customWidth="1"/>
    <col min="7293" max="7293" width="10" style="6" customWidth="1"/>
    <col min="7294" max="7294" width="9" style="6" customWidth="1"/>
    <col min="7295" max="7295" width="8.7109375" style="6" customWidth="1"/>
    <col min="7296" max="7296" width="9.5703125" style="6" customWidth="1"/>
    <col min="7297" max="7297" width="17.140625" style="6" customWidth="1"/>
    <col min="7298" max="7298" width="8.85546875" style="6" customWidth="1"/>
    <col min="7299" max="7317" width="18.7109375" style="6" customWidth="1"/>
    <col min="7318" max="7318" width="17.5703125" style="6" customWidth="1"/>
    <col min="7319" max="7319" width="21.5703125" style="6" customWidth="1"/>
    <col min="7320" max="7320" width="18.42578125" style="6" customWidth="1"/>
    <col min="7321" max="7321" width="20.140625" style="6" customWidth="1"/>
    <col min="7322" max="7322" width="18.7109375" style="6" customWidth="1"/>
    <col min="7323" max="7323" width="17.7109375" style="6" customWidth="1"/>
    <col min="7324" max="7325" width="18.85546875" style="6" customWidth="1"/>
    <col min="7326" max="7326" width="18.28515625" style="6" customWidth="1"/>
    <col min="7327" max="7327" width="20.140625" style="6" customWidth="1"/>
    <col min="7328" max="7328" width="17.140625" style="6" customWidth="1"/>
    <col min="7329" max="7329" width="17.42578125" style="6" customWidth="1"/>
    <col min="7330" max="7330" width="16.28515625" style="6" customWidth="1"/>
    <col min="7331" max="7331" width="19.28515625" style="6" customWidth="1"/>
    <col min="7332" max="7332" width="18" style="6" customWidth="1"/>
    <col min="7333" max="7333" width="18.28515625" style="6" customWidth="1"/>
    <col min="7334" max="7334" width="17.140625" style="6" customWidth="1"/>
    <col min="7335" max="7335" width="16.7109375" style="6" customWidth="1"/>
    <col min="7336" max="7336" width="17.7109375" style="6" customWidth="1"/>
    <col min="7337" max="7337" width="19.28515625" style="6" customWidth="1"/>
    <col min="7338" max="7338" width="17.28515625" style="6" customWidth="1"/>
    <col min="7339" max="7339" width="17.7109375" style="6" customWidth="1"/>
    <col min="7340" max="7340" width="19.7109375" style="6" customWidth="1"/>
    <col min="7341" max="7341" width="17.28515625" style="6" customWidth="1"/>
    <col min="7342" max="7342" width="18.28515625" style="6" customWidth="1"/>
    <col min="7343" max="7343" width="20.85546875" style="6" customWidth="1"/>
    <col min="7344" max="7344" width="17.28515625" style="6" customWidth="1"/>
    <col min="7345" max="7345" width="17.5703125" style="6" customWidth="1"/>
    <col min="7346" max="7346" width="18.42578125" style="6" customWidth="1"/>
    <col min="7347" max="7347" width="18.85546875" style="6" customWidth="1"/>
    <col min="7348" max="7348" width="19.7109375" style="6" customWidth="1"/>
    <col min="7349" max="7349" width="18" style="6" customWidth="1"/>
    <col min="7350" max="7350" width="19.140625" style="6" customWidth="1"/>
    <col min="7351" max="7351" width="19" style="6" customWidth="1"/>
    <col min="7352" max="7352" width="19.28515625" style="6" customWidth="1"/>
    <col min="7353" max="7354" width="19" style="6" customWidth="1"/>
    <col min="7355" max="7355" width="18.28515625" style="6" customWidth="1"/>
    <col min="7356" max="7356" width="19.5703125" style="6" customWidth="1"/>
    <col min="7357" max="7357" width="20.28515625" style="6" customWidth="1"/>
    <col min="7358" max="7358" width="8.7109375" style="6" customWidth="1"/>
    <col min="7359" max="7359" width="20.42578125" style="6" customWidth="1"/>
    <col min="7360" max="7360" width="18.28515625" style="6" customWidth="1"/>
    <col min="7361" max="7361" width="17.85546875" style="6" customWidth="1"/>
    <col min="7362" max="7362" width="19.28515625" style="6" customWidth="1"/>
    <col min="7363" max="7363" width="18.140625" style="6" customWidth="1"/>
    <col min="7364" max="7364" width="17.85546875" style="6" customWidth="1"/>
    <col min="7365" max="7365" width="18" style="6" customWidth="1"/>
    <col min="7366" max="7366" width="18.28515625" style="6" customWidth="1"/>
    <col min="7367" max="7367" width="19.42578125" style="6" customWidth="1"/>
    <col min="7368" max="7368" width="17.85546875" style="6" customWidth="1"/>
    <col min="7369" max="7369" width="18.85546875" style="6" customWidth="1"/>
    <col min="7370" max="7370" width="17.85546875" style="6" customWidth="1"/>
    <col min="7371" max="7371" width="18.5703125" style="6" customWidth="1"/>
    <col min="7372" max="7372" width="19.140625" style="6" customWidth="1"/>
    <col min="7373" max="7373" width="19.42578125" style="6" customWidth="1"/>
    <col min="7374" max="7374" width="17.7109375" style="6" customWidth="1"/>
    <col min="7375" max="7375" width="19.42578125" style="6" customWidth="1"/>
    <col min="7376" max="7376" width="19.28515625" style="6" customWidth="1"/>
    <col min="7377" max="7377" width="19.85546875" style="6" customWidth="1"/>
    <col min="7378" max="7378" width="12" style="6" customWidth="1"/>
    <col min="7379" max="7379" width="18.5703125" style="6" customWidth="1"/>
    <col min="7380" max="7380" width="17.85546875" style="6" customWidth="1"/>
    <col min="7381" max="7381" width="18.85546875" style="6" customWidth="1"/>
    <col min="7382" max="7382" width="19.140625" style="6" customWidth="1"/>
    <col min="7383" max="7383" width="18.85546875" style="6" customWidth="1"/>
    <col min="7384" max="7385" width="17.7109375" style="6" customWidth="1"/>
    <col min="7386" max="7386" width="19.42578125" style="6" customWidth="1"/>
    <col min="7387" max="7387" width="18.5703125" style="6" customWidth="1"/>
    <col min="7388" max="7388" width="17.140625" style="6" customWidth="1"/>
    <col min="7389" max="7389" width="17" style="6" customWidth="1"/>
    <col min="7390" max="7390" width="16.28515625" style="6" customWidth="1"/>
    <col min="7391" max="7391" width="17.85546875" style="6" customWidth="1"/>
    <col min="7392" max="7392" width="18.5703125" style="6" customWidth="1"/>
    <col min="7393" max="7393" width="17.42578125" style="6" customWidth="1"/>
    <col min="7394" max="7394" width="16.5703125" style="6" customWidth="1"/>
    <col min="7395" max="7395" width="17.28515625" style="6" customWidth="1"/>
    <col min="7396" max="7396" width="19" style="6" customWidth="1"/>
    <col min="7397" max="7397" width="18.5703125" style="6" customWidth="1"/>
    <col min="7398" max="7398" width="9.28515625" style="6" customWidth="1"/>
    <col min="7399" max="7399" width="18.7109375" style="6" customWidth="1"/>
    <col min="7400" max="7406" width="18.5703125" style="6" customWidth="1"/>
    <col min="7407" max="7407" width="20.140625" style="6" customWidth="1"/>
    <col min="7408" max="7408" width="18.5703125" style="6" customWidth="1"/>
    <col min="7409" max="7410" width="0" style="6" hidden="1" customWidth="1"/>
    <col min="7411" max="7411" width="18.5703125" style="6" customWidth="1"/>
    <col min="7412" max="7415" width="0" style="6" hidden="1" customWidth="1"/>
    <col min="7416" max="7416" width="15.5703125" style="6" customWidth="1"/>
    <col min="7417" max="7417" width="19" style="6" customWidth="1"/>
    <col min="7418" max="7418" width="18.5703125" style="6" customWidth="1"/>
    <col min="7419" max="7537" width="11.42578125" style="6"/>
    <col min="7538" max="7538" width="44" style="6" customWidth="1"/>
    <col min="7539" max="7541" width="0" style="6" hidden="1" customWidth="1"/>
    <col min="7542" max="7542" width="12.7109375" style="6" customWidth="1"/>
    <col min="7543" max="7543" width="10.28515625" style="6" bestFit="1" customWidth="1"/>
    <col min="7544" max="7544" width="10.28515625" style="6" customWidth="1"/>
    <col min="7545" max="7545" width="9.7109375" style="6" customWidth="1"/>
    <col min="7546" max="7546" width="12.7109375" style="6" customWidth="1"/>
    <col min="7547" max="7547" width="12" style="6" customWidth="1"/>
    <col min="7548" max="7548" width="11.5703125" style="6" customWidth="1"/>
    <col min="7549" max="7549" width="10" style="6" customWidth="1"/>
    <col min="7550" max="7550" width="9" style="6" customWidth="1"/>
    <col min="7551" max="7551" width="8.7109375" style="6" customWidth="1"/>
    <col min="7552" max="7552" width="9.5703125" style="6" customWidth="1"/>
    <col min="7553" max="7553" width="17.140625" style="6" customWidth="1"/>
    <col min="7554" max="7554" width="8.85546875" style="6" customWidth="1"/>
    <col min="7555" max="7573" width="18.7109375" style="6" customWidth="1"/>
    <col min="7574" max="7574" width="17.5703125" style="6" customWidth="1"/>
    <col min="7575" max="7575" width="21.5703125" style="6" customWidth="1"/>
    <col min="7576" max="7576" width="18.42578125" style="6" customWidth="1"/>
    <col min="7577" max="7577" width="20.140625" style="6" customWidth="1"/>
    <col min="7578" max="7578" width="18.7109375" style="6" customWidth="1"/>
    <col min="7579" max="7579" width="17.7109375" style="6" customWidth="1"/>
    <col min="7580" max="7581" width="18.85546875" style="6" customWidth="1"/>
    <col min="7582" max="7582" width="18.28515625" style="6" customWidth="1"/>
    <col min="7583" max="7583" width="20.140625" style="6" customWidth="1"/>
    <col min="7584" max="7584" width="17.140625" style="6" customWidth="1"/>
    <col min="7585" max="7585" width="17.42578125" style="6" customWidth="1"/>
    <col min="7586" max="7586" width="16.28515625" style="6" customWidth="1"/>
    <col min="7587" max="7587" width="19.28515625" style="6" customWidth="1"/>
    <col min="7588" max="7588" width="18" style="6" customWidth="1"/>
    <col min="7589" max="7589" width="18.28515625" style="6" customWidth="1"/>
    <col min="7590" max="7590" width="17.140625" style="6" customWidth="1"/>
    <col min="7591" max="7591" width="16.7109375" style="6" customWidth="1"/>
    <col min="7592" max="7592" width="17.7109375" style="6" customWidth="1"/>
    <col min="7593" max="7593" width="19.28515625" style="6" customWidth="1"/>
    <col min="7594" max="7594" width="17.28515625" style="6" customWidth="1"/>
    <col min="7595" max="7595" width="17.7109375" style="6" customWidth="1"/>
    <col min="7596" max="7596" width="19.7109375" style="6" customWidth="1"/>
    <col min="7597" max="7597" width="17.28515625" style="6" customWidth="1"/>
    <col min="7598" max="7598" width="18.28515625" style="6" customWidth="1"/>
    <col min="7599" max="7599" width="20.85546875" style="6" customWidth="1"/>
    <col min="7600" max="7600" width="17.28515625" style="6" customWidth="1"/>
    <col min="7601" max="7601" width="17.5703125" style="6" customWidth="1"/>
    <col min="7602" max="7602" width="18.42578125" style="6" customWidth="1"/>
    <col min="7603" max="7603" width="18.85546875" style="6" customWidth="1"/>
    <col min="7604" max="7604" width="19.7109375" style="6" customWidth="1"/>
    <col min="7605" max="7605" width="18" style="6" customWidth="1"/>
    <col min="7606" max="7606" width="19.140625" style="6" customWidth="1"/>
    <col min="7607" max="7607" width="19" style="6" customWidth="1"/>
    <col min="7608" max="7608" width="19.28515625" style="6" customWidth="1"/>
    <col min="7609" max="7610" width="19" style="6" customWidth="1"/>
    <col min="7611" max="7611" width="18.28515625" style="6" customWidth="1"/>
    <col min="7612" max="7612" width="19.5703125" style="6" customWidth="1"/>
    <col min="7613" max="7613" width="20.28515625" style="6" customWidth="1"/>
    <col min="7614" max="7614" width="8.7109375" style="6" customWidth="1"/>
    <col min="7615" max="7615" width="20.42578125" style="6" customWidth="1"/>
    <col min="7616" max="7616" width="18.28515625" style="6" customWidth="1"/>
    <col min="7617" max="7617" width="17.85546875" style="6" customWidth="1"/>
    <col min="7618" max="7618" width="19.28515625" style="6" customWidth="1"/>
    <col min="7619" max="7619" width="18.140625" style="6" customWidth="1"/>
    <col min="7620" max="7620" width="17.85546875" style="6" customWidth="1"/>
    <col min="7621" max="7621" width="18" style="6" customWidth="1"/>
    <col min="7622" max="7622" width="18.28515625" style="6" customWidth="1"/>
    <col min="7623" max="7623" width="19.42578125" style="6" customWidth="1"/>
    <col min="7624" max="7624" width="17.85546875" style="6" customWidth="1"/>
    <col min="7625" max="7625" width="18.85546875" style="6" customWidth="1"/>
    <col min="7626" max="7626" width="17.85546875" style="6" customWidth="1"/>
    <col min="7627" max="7627" width="18.5703125" style="6" customWidth="1"/>
    <col min="7628" max="7628" width="19.140625" style="6" customWidth="1"/>
    <col min="7629" max="7629" width="19.42578125" style="6" customWidth="1"/>
    <col min="7630" max="7630" width="17.7109375" style="6" customWidth="1"/>
    <col min="7631" max="7631" width="19.42578125" style="6" customWidth="1"/>
    <col min="7632" max="7632" width="19.28515625" style="6" customWidth="1"/>
    <col min="7633" max="7633" width="19.85546875" style="6" customWidth="1"/>
    <col min="7634" max="7634" width="12" style="6" customWidth="1"/>
    <col min="7635" max="7635" width="18.5703125" style="6" customWidth="1"/>
    <col min="7636" max="7636" width="17.85546875" style="6" customWidth="1"/>
    <col min="7637" max="7637" width="18.85546875" style="6" customWidth="1"/>
    <col min="7638" max="7638" width="19.140625" style="6" customWidth="1"/>
    <col min="7639" max="7639" width="18.85546875" style="6" customWidth="1"/>
    <col min="7640" max="7641" width="17.7109375" style="6" customWidth="1"/>
    <col min="7642" max="7642" width="19.42578125" style="6" customWidth="1"/>
    <col min="7643" max="7643" width="18.5703125" style="6" customWidth="1"/>
    <col min="7644" max="7644" width="17.140625" style="6" customWidth="1"/>
    <col min="7645" max="7645" width="17" style="6" customWidth="1"/>
    <col min="7646" max="7646" width="16.28515625" style="6" customWidth="1"/>
    <col min="7647" max="7647" width="17.85546875" style="6" customWidth="1"/>
    <col min="7648" max="7648" width="18.5703125" style="6" customWidth="1"/>
    <col min="7649" max="7649" width="17.42578125" style="6" customWidth="1"/>
    <col min="7650" max="7650" width="16.5703125" style="6" customWidth="1"/>
    <col min="7651" max="7651" width="17.28515625" style="6" customWidth="1"/>
    <col min="7652" max="7652" width="19" style="6" customWidth="1"/>
    <col min="7653" max="7653" width="18.5703125" style="6" customWidth="1"/>
    <col min="7654" max="7654" width="9.28515625" style="6" customWidth="1"/>
    <col min="7655" max="7655" width="18.7109375" style="6" customWidth="1"/>
    <col min="7656" max="7662" width="18.5703125" style="6" customWidth="1"/>
    <col min="7663" max="7663" width="20.140625" style="6" customWidth="1"/>
    <col min="7664" max="7664" width="18.5703125" style="6" customWidth="1"/>
    <col min="7665" max="7666" width="0" style="6" hidden="1" customWidth="1"/>
    <col min="7667" max="7667" width="18.5703125" style="6" customWidth="1"/>
    <col min="7668" max="7671" width="0" style="6" hidden="1" customWidth="1"/>
    <col min="7672" max="7672" width="15.5703125" style="6" customWidth="1"/>
    <col min="7673" max="7673" width="19" style="6" customWidth="1"/>
    <col min="7674" max="7674" width="18.5703125" style="6" customWidth="1"/>
    <col min="7675" max="7793" width="11.42578125" style="6"/>
    <col min="7794" max="7794" width="44" style="6" customWidth="1"/>
    <col min="7795" max="7797" width="0" style="6" hidden="1" customWidth="1"/>
    <col min="7798" max="7798" width="12.7109375" style="6" customWidth="1"/>
    <col min="7799" max="7799" width="10.28515625" style="6" bestFit="1" customWidth="1"/>
    <col min="7800" max="7800" width="10.28515625" style="6" customWidth="1"/>
    <col min="7801" max="7801" width="9.7109375" style="6" customWidth="1"/>
    <col min="7802" max="7802" width="12.7109375" style="6" customWidth="1"/>
    <col min="7803" max="7803" width="12" style="6" customWidth="1"/>
    <col min="7804" max="7804" width="11.5703125" style="6" customWidth="1"/>
    <col min="7805" max="7805" width="10" style="6" customWidth="1"/>
    <col min="7806" max="7806" width="9" style="6" customWidth="1"/>
    <col min="7807" max="7807" width="8.7109375" style="6" customWidth="1"/>
    <col min="7808" max="7808" width="9.5703125" style="6" customWidth="1"/>
    <col min="7809" max="7809" width="17.140625" style="6" customWidth="1"/>
    <col min="7810" max="7810" width="8.85546875" style="6" customWidth="1"/>
    <col min="7811" max="7829" width="18.7109375" style="6" customWidth="1"/>
    <col min="7830" max="7830" width="17.5703125" style="6" customWidth="1"/>
    <col min="7831" max="7831" width="21.5703125" style="6" customWidth="1"/>
    <col min="7832" max="7832" width="18.42578125" style="6" customWidth="1"/>
    <col min="7833" max="7833" width="20.140625" style="6" customWidth="1"/>
    <col min="7834" max="7834" width="18.7109375" style="6" customWidth="1"/>
    <col min="7835" max="7835" width="17.7109375" style="6" customWidth="1"/>
    <col min="7836" max="7837" width="18.85546875" style="6" customWidth="1"/>
    <col min="7838" max="7838" width="18.28515625" style="6" customWidth="1"/>
    <col min="7839" max="7839" width="20.140625" style="6" customWidth="1"/>
    <col min="7840" max="7840" width="17.140625" style="6" customWidth="1"/>
    <col min="7841" max="7841" width="17.42578125" style="6" customWidth="1"/>
    <col min="7842" max="7842" width="16.28515625" style="6" customWidth="1"/>
    <col min="7843" max="7843" width="19.28515625" style="6" customWidth="1"/>
    <col min="7844" max="7844" width="18" style="6" customWidth="1"/>
    <col min="7845" max="7845" width="18.28515625" style="6" customWidth="1"/>
    <col min="7846" max="7846" width="17.140625" style="6" customWidth="1"/>
    <col min="7847" max="7847" width="16.7109375" style="6" customWidth="1"/>
    <col min="7848" max="7848" width="17.7109375" style="6" customWidth="1"/>
    <col min="7849" max="7849" width="19.28515625" style="6" customWidth="1"/>
    <col min="7850" max="7850" width="17.28515625" style="6" customWidth="1"/>
    <col min="7851" max="7851" width="17.7109375" style="6" customWidth="1"/>
    <col min="7852" max="7852" width="19.7109375" style="6" customWidth="1"/>
    <col min="7853" max="7853" width="17.28515625" style="6" customWidth="1"/>
    <col min="7854" max="7854" width="18.28515625" style="6" customWidth="1"/>
    <col min="7855" max="7855" width="20.85546875" style="6" customWidth="1"/>
    <col min="7856" max="7856" width="17.28515625" style="6" customWidth="1"/>
    <col min="7857" max="7857" width="17.5703125" style="6" customWidth="1"/>
    <col min="7858" max="7858" width="18.42578125" style="6" customWidth="1"/>
    <col min="7859" max="7859" width="18.85546875" style="6" customWidth="1"/>
    <col min="7860" max="7860" width="19.7109375" style="6" customWidth="1"/>
    <col min="7861" max="7861" width="18" style="6" customWidth="1"/>
    <col min="7862" max="7862" width="19.140625" style="6" customWidth="1"/>
    <col min="7863" max="7863" width="19" style="6" customWidth="1"/>
    <col min="7864" max="7864" width="19.28515625" style="6" customWidth="1"/>
    <col min="7865" max="7866" width="19" style="6" customWidth="1"/>
    <col min="7867" max="7867" width="18.28515625" style="6" customWidth="1"/>
    <col min="7868" max="7868" width="19.5703125" style="6" customWidth="1"/>
    <col min="7869" max="7869" width="20.28515625" style="6" customWidth="1"/>
    <col min="7870" max="7870" width="8.7109375" style="6" customWidth="1"/>
    <col min="7871" max="7871" width="20.42578125" style="6" customWidth="1"/>
    <col min="7872" max="7872" width="18.28515625" style="6" customWidth="1"/>
    <col min="7873" max="7873" width="17.85546875" style="6" customWidth="1"/>
    <col min="7874" max="7874" width="19.28515625" style="6" customWidth="1"/>
    <col min="7875" max="7875" width="18.140625" style="6" customWidth="1"/>
    <col min="7876" max="7876" width="17.85546875" style="6" customWidth="1"/>
    <col min="7877" max="7877" width="18" style="6" customWidth="1"/>
    <col min="7878" max="7878" width="18.28515625" style="6" customWidth="1"/>
    <col min="7879" max="7879" width="19.42578125" style="6" customWidth="1"/>
    <col min="7880" max="7880" width="17.85546875" style="6" customWidth="1"/>
    <col min="7881" max="7881" width="18.85546875" style="6" customWidth="1"/>
    <col min="7882" max="7882" width="17.85546875" style="6" customWidth="1"/>
    <col min="7883" max="7883" width="18.5703125" style="6" customWidth="1"/>
    <col min="7884" max="7884" width="19.140625" style="6" customWidth="1"/>
    <col min="7885" max="7885" width="19.42578125" style="6" customWidth="1"/>
    <col min="7886" max="7886" width="17.7109375" style="6" customWidth="1"/>
    <col min="7887" max="7887" width="19.42578125" style="6" customWidth="1"/>
    <col min="7888" max="7888" width="19.28515625" style="6" customWidth="1"/>
    <col min="7889" max="7889" width="19.85546875" style="6" customWidth="1"/>
    <col min="7890" max="7890" width="12" style="6" customWidth="1"/>
    <col min="7891" max="7891" width="18.5703125" style="6" customWidth="1"/>
    <col min="7892" max="7892" width="17.85546875" style="6" customWidth="1"/>
    <col min="7893" max="7893" width="18.85546875" style="6" customWidth="1"/>
    <col min="7894" max="7894" width="19.140625" style="6" customWidth="1"/>
    <col min="7895" max="7895" width="18.85546875" style="6" customWidth="1"/>
    <col min="7896" max="7897" width="17.7109375" style="6" customWidth="1"/>
    <col min="7898" max="7898" width="19.42578125" style="6" customWidth="1"/>
    <col min="7899" max="7899" width="18.5703125" style="6" customWidth="1"/>
    <col min="7900" max="7900" width="17.140625" style="6" customWidth="1"/>
    <col min="7901" max="7901" width="17" style="6" customWidth="1"/>
    <col min="7902" max="7902" width="16.28515625" style="6" customWidth="1"/>
    <col min="7903" max="7903" width="17.85546875" style="6" customWidth="1"/>
    <col min="7904" max="7904" width="18.5703125" style="6" customWidth="1"/>
    <col min="7905" max="7905" width="17.42578125" style="6" customWidth="1"/>
    <col min="7906" max="7906" width="16.5703125" style="6" customWidth="1"/>
    <col min="7907" max="7907" width="17.28515625" style="6" customWidth="1"/>
    <col min="7908" max="7908" width="19" style="6" customWidth="1"/>
    <col min="7909" max="7909" width="18.5703125" style="6" customWidth="1"/>
    <col min="7910" max="7910" width="9.28515625" style="6" customWidth="1"/>
    <col min="7911" max="7911" width="18.7109375" style="6" customWidth="1"/>
    <col min="7912" max="7918" width="18.5703125" style="6" customWidth="1"/>
    <col min="7919" max="7919" width="20.140625" style="6" customWidth="1"/>
    <col min="7920" max="7920" width="18.5703125" style="6" customWidth="1"/>
    <col min="7921" max="7922" width="0" style="6" hidden="1" customWidth="1"/>
    <col min="7923" max="7923" width="18.5703125" style="6" customWidth="1"/>
    <col min="7924" max="7927" width="0" style="6" hidden="1" customWidth="1"/>
    <col min="7928" max="7928" width="15.5703125" style="6" customWidth="1"/>
    <col min="7929" max="7929" width="19" style="6" customWidth="1"/>
    <col min="7930" max="7930" width="18.5703125" style="6" customWidth="1"/>
    <col min="7931" max="8049" width="11.42578125" style="6"/>
    <col min="8050" max="8050" width="44" style="6" customWidth="1"/>
    <col min="8051" max="8053" width="0" style="6" hidden="1" customWidth="1"/>
    <col min="8054" max="8054" width="12.7109375" style="6" customWidth="1"/>
    <col min="8055" max="8055" width="10.28515625" style="6" bestFit="1" customWidth="1"/>
    <col min="8056" max="8056" width="10.28515625" style="6" customWidth="1"/>
    <col min="8057" max="8057" width="9.7109375" style="6" customWidth="1"/>
    <col min="8058" max="8058" width="12.7109375" style="6" customWidth="1"/>
    <col min="8059" max="8059" width="12" style="6" customWidth="1"/>
    <col min="8060" max="8060" width="11.5703125" style="6" customWidth="1"/>
    <col min="8061" max="8061" width="10" style="6" customWidth="1"/>
    <col min="8062" max="8062" width="9" style="6" customWidth="1"/>
    <col min="8063" max="8063" width="8.7109375" style="6" customWidth="1"/>
    <col min="8064" max="8064" width="9.5703125" style="6" customWidth="1"/>
    <col min="8065" max="8065" width="17.140625" style="6" customWidth="1"/>
    <col min="8066" max="8066" width="8.85546875" style="6" customWidth="1"/>
    <col min="8067" max="8085" width="18.7109375" style="6" customWidth="1"/>
    <col min="8086" max="8086" width="17.5703125" style="6" customWidth="1"/>
    <col min="8087" max="8087" width="21.5703125" style="6" customWidth="1"/>
    <col min="8088" max="8088" width="18.42578125" style="6" customWidth="1"/>
    <col min="8089" max="8089" width="20.140625" style="6" customWidth="1"/>
    <col min="8090" max="8090" width="18.7109375" style="6" customWidth="1"/>
    <col min="8091" max="8091" width="17.7109375" style="6" customWidth="1"/>
    <col min="8092" max="8093" width="18.85546875" style="6" customWidth="1"/>
    <col min="8094" max="8094" width="18.28515625" style="6" customWidth="1"/>
    <col min="8095" max="8095" width="20.140625" style="6" customWidth="1"/>
    <col min="8096" max="8096" width="17.140625" style="6" customWidth="1"/>
    <col min="8097" max="8097" width="17.42578125" style="6" customWidth="1"/>
    <col min="8098" max="8098" width="16.28515625" style="6" customWidth="1"/>
    <col min="8099" max="8099" width="19.28515625" style="6" customWidth="1"/>
    <col min="8100" max="8100" width="18" style="6" customWidth="1"/>
    <col min="8101" max="8101" width="18.28515625" style="6" customWidth="1"/>
    <col min="8102" max="8102" width="17.140625" style="6" customWidth="1"/>
    <col min="8103" max="8103" width="16.7109375" style="6" customWidth="1"/>
    <col min="8104" max="8104" width="17.7109375" style="6" customWidth="1"/>
    <col min="8105" max="8105" width="19.28515625" style="6" customWidth="1"/>
    <col min="8106" max="8106" width="17.28515625" style="6" customWidth="1"/>
    <col min="8107" max="8107" width="17.7109375" style="6" customWidth="1"/>
    <col min="8108" max="8108" width="19.7109375" style="6" customWidth="1"/>
    <col min="8109" max="8109" width="17.28515625" style="6" customWidth="1"/>
    <col min="8110" max="8110" width="18.28515625" style="6" customWidth="1"/>
    <col min="8111" max="8111" width="20.85546875" style="6" customWidth="1"/>
    <col min="8112" max="8112" width="17.28515625" style="6" customWidth="1"/>
    <col min="8113" max="8113" width="17.5703125" style="6" customWidth="1"/>
    <col min="8114" max="8114" width="18.42578125" style="6" customWidth="1"/>
    <col min="8115" max="8115" width="18.85546875" style="6" customWidth="1"/>
    <col min="8116" max="8116" width="19.7109375" style="6" customWidth="1"/>
    <col min="8117" max="8117" width="18" style="6" customWidth="1"/>
    <col min="8118" max="8118" width="19.140625" style="6" customWidth="1"/>
    <col min="8119" max="8119" width="19" style="6" customWidth="1"/>
    <col min="8120" max="8120" width="19.28515625" style="6" customWidth="1"/>
    <col min="8121" max="8122" width="19" style="6" customWidth="1"/>
    <col min="8123" max="8123" width="18.28515625" style="6" customWidth="1"/>
    <col min="8124" max="8124" width="19.5703125" style="6" customWidth="1"/>
    <col min="8125" max="8125" width="20.28515625" style="6" customWidth="1"/>
    <col min="8126" max="8126" width="8.7109375" style="6" customWidth="1"/>
    <col min="8127" max="8127" width="20.42578125" style="6" customWidth="1"/>
    <col min="8128" max="8128" width="18.28515625" style="6" customWidth="1"/>
    <col min="8129" max="8129" width="17.85546875" style="6" customWidth="1"/>
    <col min="8130" max="8130" width="19.28515625" style="6" customWidth="1"/>
    <col min="8131" max="8131" width="18.140625" style="6" customWidth="1"/>
    <col min="8132" max="8132" width="17.85546875" style="6" customWidth="1"/>
    <col min="8133" max="8133" width="18" style="6" customWidth="1"/>
    <col min="8134" max="8134" width="18.28515625" style="6" customWidth="1"/>
    <col min="8135" max="8135" width="19.42578125" style="6" customWidth="1"/>
    <col min="8136" max="8136" width="17.85546875" style="6" customWidth="1"/>
    <col min="8137" max="8137" width="18.85546875" style="6" customWidth="1"/>
    <col min="8138" max="8138" width="17.85546875" style="6" customWidth="1"/>
    <col min="8139" max="8139" width="18.5703125" style="6" customWidth="1"/>
    <col min="8140" max="8140" width="19.140625" style="6" customWidth="1"/>
    <col min="8141" max="8141" width="19.42578125" style="6" customWidth="1"/>
    <col min="8142" max="8142" width="17.7109375" style="6" customWidth="1"/>
    <col min="8143" max="8143" width="19.42578125" style="6" customWidth="1"/>
    <col min="8144" max="8144" width="19.28515625" style="6" customWidth="1"/>
    <col min="8145" max="8145" width="19.85546875" style="6" customWidth="1"/>
    <col min="8146" max="8146" width="12" style="6" customWidth="1"/>
    <col min="8147" max="8147" width="18.5703125" style="6" customWidth="1"/>
    <col min="8148" max="8148" width="17.85546875" style="6" customWidth="1"/>
    <col min="8149" max="8149" width="18.85546875" style="6" customWidth="1"/>
    <col min="8150" max="8150" width="19.140625" style="6" customWidth="1"/>
    <col min="8151" max="8151" width="18.85546875" style="6" customWidth="1"/>
    <col min="8152" max="8153" width="17.7109375" style="6" customWidth="1"/>
    <col min="8154" max="8154" width="19.42578125" style="6" customWidth="1"/>
    <col min="8155" max="8155" width="18.5703125" style="6" customWidth="1"/>
    <col min="8156" max="8156" width="17.140625" style="6" customWidth="1"/>
    <col min="8157" max="8157" width="17" style="6" customWidth="1"/>
    <col min="8158" max="8158" width="16.28515625" style="6" customWidth="1"/>
    <col min="8159" max="8159" width="17.85546875" style="6" customWidth="1"/>
    <col min="8160" max="8160" width="18.5703125" style="6" customWidth="1"/>
    <col min="8161" max="8161" width="17.42578125" style="6" customWidth="1"/>
    <col min="8162" max="8162" width="16.5703125" style="6" customWidth="1"/>
    <col min="8163" max="8163" width="17.28515625" style="6" customWidth="1"/>
    <col min="8164" max="8164" width="19" style="6" customWidth="1"/>
    <col min="8165" max="8165" width="18.5703125" style="6" customWidth="1"/>
    <col min="8166" max="8166" width="9.28515625" style="6" customWidth="1"/>
    <col min="8167" max="8167" width="18.7109375" style="6" customWidth="1"/>
    <col min="8168" max="8174" width="18.5703125" style="6" customWidth="1"/>
    <col min="8175" max="8175" width="20.140625" style="6" customWidth="1"/>
    <col min="8176" max="8176" width="18.5703125" style="6" customWidth="1"/>
    <col min="8177" max="8178" width="0" style="6" hidden="1" customWidth="1"/>
    <col min="8179" max="8179" width="18.5703125" style="6" customWidth="1"/>
    <col min="8180" max="8183" width="0" style="6" hidden="1" customWidth="1"/>
    <col min="8184" max="8184" width="15.5703125" style="6" customWidth="1"/>
    <col min="8185" max="8185" width="19" style="6" customWidth="1"/>
    <col min="8186" max="8186" width="18.5703125" style="6" customWidth="1"/>
    <col min="8187" max="8305" width="11.42578125" style="6"/>
    <col min="8306" max="8306" width="44" style="6" customWidth="1"/>
    <col min="8307" max="8309" width="0" style="6" hidden="1" customWidth="1"/>
    <col min="8310" max="8310" width="12.7109375" style="6" customWidth="1"/>
    <col min="8311" max="8311" width="10.28515625" style="6" bestFit="1" customWidth="1"/>
    <col min="8312" max="8312" width="10.28515625" style="6" customWidth="1"/>
    <col min="8313" max="8313" width="9.7109375" style="6" customWidth="1"/>
    <col min="8314" max="8314" width="12.7109375" style="6" customWidth="1"/>
    <col min="8315" max="8315" width="12" style="6" customWidth="1"/>
    <col min="8316" max="8316" width="11.5703125" style="6" customWidth="1"/>
    <col min="8317" max="8317" width="10" style="6" customWidth="1"/>
    <col min="8318" max="8318" width="9" style="6" customWidth="1"/>
    <col min="8319" max="8319" width="8.7109375" style="6" customWidth="1"/>
    <col min="8320" max="8320" width="9.5703125" style="6" customWidth="1"/>
    <col min="8321" max="8321" width="17.140625" style="6" customWidth="1"/>
    <col min="8322" max="8322" width="8.85546875" style="6" customWidth="1"/>
    <col min="8323" max="8341" width="18.7109375" style="6" customWidth="1"/>
    <col min="8342" max="8342" width="17.5703125" style="6" customWidth="1"/>
    <col min="8343" max="8343" width="21.5703125" style="6" customWidth="1"/>
    <col min="8344" max="8344" width="18.42578125" style="6" customWidth="1"/>
    <col min="8345" max="8345" width="20.140625" style="6" customWidth="1"/>
    <col min="8346" max="8346" width="18.7109375" style="6" customWidth="1"/>
    <col min="8347" max="8347" width="17.7109375" style="6" customWidth="1"/>
    <col min="8348" max="8349" width="18.85546875" style="6" customWidth="1"/>
    <col min="8350" max="8350" width="18.28515625" style="6" customWidth="1"/>
    <col min="8351" max="8351" width="20.140625" style="6" customWidth="1"/>
    <col min="8352" max="8352" width="17.140625" style="6" customWidth="1"/>
    <col min="8353" max="8353" width="17.42578125" style="6" customWidth="1"/>
    <col min="8354" max="8354" width="16.28515625" style="6" customWidth="1"/>
    <col min="8355" max="8355" width="19.28515625" style="6" customWidth="1"/>
    <col min="8356" max="8356" width="18" style="6" customWidth="1"/>
    <col min="8357" max="8357" width="18.28515625" style="6" customWidth="1"/>
    <col min="8358" max="8358" width="17.140625" style="6" customWidth="1"/>
    <col min="8359" max="8359" width="16.7109375" style="6" customWidth="1"/>
    <col min="8360" max="8360" width="17.7109375" style="6" customWidth="1"/>
    <col min="8361" max="8361" width="19.28515625" style="6" customWidth="1"/>
    <col min="8362" max="8362" width="17.28515625" style="6" customWidth="1"/>
    <col min="8363" max="8363" width="17.7109375" style="6" customWidth="1"/>
    <col min="8364" max="8364" width="19.7109375" style="6" customWidth="1"/>
    <col min="8365" max="8365" width="17.28515625" style="6" customWidth="1"/>
    <col min="8366" max="8366" width="18.28515625" style="6" customWidth="1"/>
    <col min="8367" max="8367" width="20.85546875" style="6" customWidth="1"/>
    <col min="8368" max="8368" width="17.28515625" style="6" customWidth="1"/>
    <col min="8369" max="8369" width="17.5703125" style="6" customWidth="1"/>
    <col min="8370" max="8370" width="18.42578125" style="6" customWidth="1"/>
    <col min="8371" max="8371" width="18.85546875" style="6" customWidth="1"/>
    <col min="8372" max="8372" width="19.7109375" style="6" customWidth="1"/>
    <col min="8373" max="8373" width="18" style="6" customWidth="1"/>
    <col min="8374" max="8374" width="19.140625" style="6" customWidth="1"/>
    <col min="8375" max="8375" width="19" style="6" customWidth="1"/>
    <col min="8376" max="8376" width="19.28515625" style="6" customWidth="1"/>
    <col min="8377" max="8378" width="19" style="6" customWidth="1"/>
    <col min="8379" max="8379" width="18.28515625" style="6" customWidth="1"/>
    <col min="8380" max="8380" width="19.5703125" style="6" customWidth="1"/>
    <col min="8381" max="8381" width="20.28515625" style="6" customWidth="1"/>
    <col min="8382" max="8382" width="8.7109375" style="6" customWidth="1"/>
    <col min="8383" max="8383" width="20.42578125" style="6" customWidth="1"/>
    <col min="8384" max="8384" width="18.28515625" style="6" customWidth="1"/>
    <col min="8385" max="8385" width="17.85546875" style="6" customWidth="1"/>
    <col min="8386" max="8386" width="19.28515625" style="6" customWidth="1"/>
    <col min="8387" max="8387" width="18.140625" style="6" customWidth="1"/>
    <col min="8388" max="8388" width="17.85546875" style="6" customWidth="1"/>
    <col min="8389" max="8389" width="18" style="6" customWidth="1"/>
    <col min="8390" max="8390" width="18.28515625" style="6" customWidth="1"/>
    <col min="8391" max="8391" width="19.42578125" style="6" customWidth="1"/>
    <col min="8392" max="8392" width="17.85546875" style="6" customWidth="1"/>
    <col min="8393" max="8393" width="18.85546875" style="6" customWidth="1"/>
    <col min="8394" max="8394" width="17.85546875" style="6" customWidth="1"/>
    <col min="8395" max="8395" width="18.5703125" style="6" customWidth="1"/>
    <col min="8396" max="8396" width="19.140625" style="6" customWidth="1"/>
    <col min="8397" max="8397" width="19.42578125" style="6" customWidth="1"/>
    <col min="8398" max="8398" width="17.7109375" style="6" customWidth="1"/>
    <col min="8399" max="8399" width="19.42578125" style="6" customWidth="1"/>
    <col min="8400" max="8400" width="19.28515625" style="6" customWidth="1"/>
    <col min="8401" max="8401" width="19.85546875" style="6" customWidth="1"/>
    <col min="8402" max="8402" width="12" style="6" customWidth="1"/>
    <col min="8403" max="8403" width="18.5703125" style="6" customWidth="1"/>
    <col min="8404" max="8404" width="17.85546875" style="6" customWidth="1"/>
    <col min="8405" max="8405" width="18.85546875" style="6" customWidth="1"/>
    <col min="8406" max="8406" width="19.140625" style="6" customWidth="1"/>
    <col min="8407" max="8407" width="18.85546875" style="6" customWidth="1"/>
    <col min="8408" max="8409" width="17.7109375" style="6" customWidth="1"/>
    <col min="8410" max="8410" width="19.42578125" style="6" customWidth="1"/>
    <col min="8411" max="8411" width="18.5703125" style="6" customWidth="1"/>
    <col min="8412" max="8412" width="17.140625" style="6" customWidth="1"/>
    <col min="8413" max="8413" width="17" style="6" customWidth="1"/>
    <col min="8414" max="8414" width="16.28515625" style="6" customWidth="1"/>
    <col min="8415" max="8415" width="17.85546875" style="6" customWidth="1"/>
    <col min="8416" max="8416" width="18.5703125" style="6" customWidth="1"/>
    <col min="8417" max="8417" width="17.42578125" style="6" customWidth="1"/>
    <col min="8418" max="8418" width="16.5703125" style="6" customWidth="1"/>
    <col min="8419" max="8419" width="17.28515625" style="6" customWidth="1"/>
    <col min="8420" max="8420" width="19" style="6" customWidth="1"/>
    <col min="8421" max="8421" width="18.5703125" style="6" customWidth="1"/>
    <col min="8422" max="8422" width="9.28515625" style="6" customWidth="1"/>
    <col min="8423" max="8423" width="18.7109375" style="6" customWidth="1"/>
    <col min="8424" max="8430" width="18.5703125" style="6" customWidth="1"/>
    <col min="8431" max="8431" width="20.140625" style="6" customWidth="1"/>
    <col min="8432" max="8432" width="18.5703125" style="6" customWidth="1"/>
    <col min="8433" max="8434" width="0" style="6" hidden="1" customWidth="1"/>
    <col min="8435" max="8435" width="18.5703125" style="6" customWidth="1"/>
    <col min="8436" max="8439" width="0" style="6" hidden="1" customWidth="1"/>
    <col min="8440" max="8440" width="15.5703125" style="6" customWidth="1"/>
    <col min="8441" max="8441" width="19" style="6" customWidth="1"/>
    <col min="8442" max="8442" width="18.5703125" style="6" customWidth="1"/>
    <col min="8443" max="8561" width="11.42578125" style="6"/>
    <col min="8562" max="8562" width="44" style="6" customWidth="1"/>
    <col min="8563" max="8565" width="0" style="6" hidden="1" customWidth="1"/>
    <col min="8566" max="8566" width="12.7109375" style="6" customWidth="1"/>
    <col min="8567" max="8567" width="10.28515625" style="6" bestFit="1" customWidth="1"/>
    <col min="8568" max="8568" width="10.28515625" style="6" customWidth="1"/>
    <col min="8569" max="8569" width="9.7109375" style="6" customWidth="1"/>
    <col min="8570" max="8570" width="12.7109375" style="6" customWidth="1"/>
    <col min="8571" max="8571" width="12" style="6" customWidth="1"/>
    <col min="8572" max="8572" width="11.5703125" style="6" customWidth="1"/>
    <col min="8573" max="8573" width="10" style="6" customWidth="1"/>
    <col min="8574" max="8574" width="9" style="6" customWidth="1"/>
    <col min="8575" max="8575" width="8.7109375" style="6" customWidth="1"/>
    <col min="8576" max="8576" width="9.5703125" style="6" customWidth="1"/>
    <col min="8577" max="8577" width="17.140625" style="6" customWidth="1"/>
    <col min="8578" max="8578" width="8.85546875" style="6" customWidth="1"/>
    <col min="8579" max="8597" width="18.7109375" style="6" customWidth="1"/>
    <col min="8598" max="8598" width="17.5703125" style="6" customWidth="1"/>
    <col min="8599" max="8599" width="21.5703125" style="6" customWidth="1"/>
    <col min="8600" max="8600" width="18.42578125" style="6" customWidth="1"/>
    <col min="8601" max="8601" width="20.140625" style="6" customWidth="1"/>
    <col min="8602" max="8602" width="18.7109375" style="6" customWidth="1"/>
    <col min="8603" max="8603" width="17.7109375" style="6" customWidth="1"/>
    <col min="8604" max="8605" width="18.85546875" style="6" customWidth="1"/>
    <col min="8606" max="8606" width="18.28515625" style="6" customWidth="1"/>
    <col min="8607" max="8607" width="20.140625" style="6" customWidth="1"/>
    <col min="8608" max="8608" width="17.140625" style="6" customWidth="1"/>
    <col min="8609" max="8609" width="17.42578125" style="6" customWidth="1"/>
    <col min="8610" max="8610" width="16.28515625" style="6" customWidth="1"/>
    <col min="8611" max="8611" width="19.28515625" style="6" customWidth="1"/>
    <col min="8612" max="8612" width="18" style="6" customWidth="1"/>
    <col min="8613" max="8613" width="18.28515625" style="6" customWidth="1"/>
    <col min="8614" max="8614" width="17.140625" style="6" customWidth="1"/>
    <col min="8615" max="8615" width="16.7109375" style="6" customWidth="1"/>
    <col min="8616" max="8616" width="17.7109375" style="6" customWidth="1"/>
    <col min="8617" max="8617" width="19.28515625" style="6" customWidth="1"/>
    <col min="8618" max="8618" width="17.28515625" style="6" customWidth="1"/>
    <col min="8619" max="8619" width="17.7109375" style="6" customWidth="1"/>
    <col min="8620" max="8620" width="19.7109375" style="6" customWidth="1"/>
    <col min="8621" max="8621" width="17.28515625" style="6" customWidth="1"/>
    <col min="8622" max="8622" width="18.28515625" style="6" customWidth="1"/>
    <col min="8623" max="8623" width="20.85546875" style="6" customWidth="1"/>
    <col min="8624" max="8624" width="17.28515625" style="6" customWidth="1"/>
    <col min="8625" max="8625" width="17.5703125" style="6" customWidth="1"/>
    <col min="8626" max="8626" width="18.42578125" style="6" customWidth="1"/>
    <col min="8627" max="8627" width="18.85546875" style="6" customWidth="1"/>
    <col min="8628" max="8628" width="19.7109375" style="6" customWidth="1"/>
    <col min="8629" max="8629" width="18" style="6" customWidth="1"/>
    <col min="8630" max="8630" width="19.140625" style="6" customWidth="1"/>
    <col min="8631" max="8631" width="19" style="6" customWidth="1"/>
    <col min="8632" max="8632" width="19.28515625" style="6" customWidth="1"/>
    <col min="8633" max="8634" width="19" style="6" customWidth="1"/>
    <col min="8635" max="8635" width="18.28515625" style="6" customWidth="1"/>
    <col min="8636" max="8636" width="19.5703125" style="6" customWidth="1"/>
    <col min="8637" max="8637" width="20.28515625" style="6" customWidth="1"/>
    <col min="8638" max="8638" width="8.7109375" style="6" customWidth="1"/>
    <col min="8639" max="8639" width="20.42578125" style="6" customWidth="1"/>
    <col min="8640" max="8640" width="18.28515625" style="6" customWidth="1"/>
    <col min="8641" max="8641" width="17.85546875" style="6" customWidth="1"/>
    <col min="8642" max="8642" width="19.28515625" style="6" customWidth="1"/>
    <col min="8643" max="8643" width="18.140625" style="6" customWidth="1"/>
    <col min="8644" max="8644" width="17.85546875" style="6" customWidth="1"/>
    <col min="8645" max="8645" width="18" style="6" customWidth="1"/>
    <col min="8646" max="8646" width="18.28515625" style="6" customWidth="1"/>
    <col min="8647" max="8647" width="19.42578125" style="6" customWidth="1"/>
    <col min="8648" max="8648" width="17.85546875" style="6" customWidth="1"/>
    <col min="8649" max="8649" width="18.85546875" style="6" customWidth="1"/>
    <col min="8650" max="8650" width="17.85546875" style="6" customWidth="1"/>
    <col min="8651" max="8651" width="18.5703125" style="6" customWidth="1"/>
    <col min="8652" max="8652" width="19.140625" style="6" customWidth="1"/>
    <col min="8653" max="8653" width="19.42578125" style="6" customWidth="1"/>
    <col min="8654" max="8654" width="17.7109375" style="6" customWidth="1"/>
    <col min="8655" max="8655" width="19.42578125" style="6" customWidth="1"/>
    <col min="8656" max="8656" width="19.28515625" style="6" customWidth="1"/>
    <col min="8657" max="8657" width="19.85546875" style="6" customWidth="1"/>
    <col min="8658" max="8658" width="12" style="6" customWidth="1"/>
    <col min="8659" max="8659" width="18.5703125" style="6" customWidth="1"/>
    <col min="8660" max="8660" width="17.85546875" style="6" customWidth="1"/>
    <col min="8661" max="8661" width="18.85546875" style="6" customWidth="1"/>
    <col min="8662" max="8662" width="19.140625" style="6" customWidth="1"/>
    <col min="8663" max="8663" width="18.85546875" style="6" customWidth="1"/>
    <col min="8664" max="8665" width="17.7109375" style="6" customWidth="1"/>
    <col min="8666" max="8666" width="19.42578125" style="6" customWidth="1"/>
    <col min="8667" max="8667" width="18.5703125" style="6" customWidth="1"/>
    <col min="8668" max="8668" width="17.140625" style="6" customWidth="1"/>
    <col min="8669" max="8669" width="17" style="6" customWidth="1"/>
    <col min="8670" max="8670" width="16.28515625" style="6" customWidth="1"/>
    <col min="8671" max="8671" width="17.85546875" style="6" customWidth="1"/>
    <col min="8672" max="8672" width="18.5703125" style="6" customWidth="1"/>
    <col min="8673" max="8673" width="17.42578125" style="6" customWidth="1"/>
    <col min="8674" max="8674" width="16.5703125" style="6" customWidth="1"/>
    <col min="8675" max="8675" width="17.28515625" style="6" customWidth="1"/>
    <col min="8676" max="8676" width="19" style="6" customWidth="1"/>
    <col min="8677" max="8677" width="18.5703125" style="6" customWidth="1"/>
    <col min="8678" max="8678" width="9.28515625" style="6" customWidth="1"/>
    <col min="8679" max="8679" width="18.7109375" style="6" customWidth="1"/>
    <col min="8680" max="8686" width="18.5703125" style="6" customWidth="1"/>
    <col min="8687" max="8687" width="20.140625" style="6" customWidth="1"/>
    <col min="8688" max="8688" width="18.5703125" style="6" customWidth="1"/>
    <col min="8689" max="8690" width="0" style="6" hidden="1" customWidth="1"/>
    <col min="8691" max="8691" width="18.5703125" style="6" customWidth="1"/>
    <col min="8692" max="8695" width="0" style="6" hidden="1" customWidth="1"/>
    <col min="8696" max="8696" width="15.5703125" style="6" customWidth="1"/>
    <col min="8697" max="8697" width="19" style="6" customWidth="1"/>
    <col min="8698" max="8698" width="18.5703125" style="6" customWidth="1"/>
    <col min="8699" max="8817" width="11.42578125" style="6"/>
    <col min="8818" max="8818" width="44" style="6" customWidth="1"/>
    <col min="8819" max="8821" width="0" style="6" hidden="1" customWidth="1"/>
    <col min="8822" max="8822" width="12.7109375" style="6" customWidth="1"/>
    <col min="8823" max="8823" width="10.28515625" style="6" bestFit="1" customWidth="1"/>
    <col min="8824" max="8824" width="10.28515625" style="6" customWidth="1"/>
    <col min="8825" max="8825" width="9.7109375" style="6" customWidth="1"/>
    <col min="8826" max="8826" width="12.7109375" style="6" customWidth="1"/>
    <col min="8827" max="8827" width="12" style="6" customWidth="1"/>
    <col min="8828" max="8828" width="11.5703125" style="6" customWidth="1"/>
    <col min="8829" max="8829" width="10" style="6" customWidth="1"/>
    <col min="8830" max="8830" width="9" style="6" customWidth="1"/>
    <col min="8831" max="8831" width="8.7109375" style="6" customWidth="1"/>
    <col min="8832" max="8832" width="9.5703125" style="6" customWidth="1"/>
    <col min="8833" max="8833" width="17.140625" style="6" customWidth="1"/>
    <col min="8834" max="8834" width="8.85546875" style="6" customWidth="1"/>
    <col min="8835" max="8853" width="18.7109375" style="6" customWidth="1"/>
    <col min="8854" max="8854" width="17.5703125" style="6" customWidth="1"/>
    <col min="8855" max="8855" width="21.5703125" style="6" customWidth="1"/>
    <col min="8856" max="8856" width="18.42578125" style="6" customWidth="1"/>
    <col min="8857" max="8857" width="20.140625" style="6" customWidth="1"/>
    <col min="8858" max="8858" width="18.7109375" style="6" customWidth="1"/>
    <col min="8859" max="8859" width="17.7109375" style="6" customWidth="1"/>
    <col min="8860" max="8861" width="18.85546875" style="6" customWidth="1"/>
    <col min="8862" max="8862" width="18.28515625" style="6" customWidth="1"/>
    <col min="8863" max="8863" width="20.140625" style="6" customWidth="1"/>
    <col min="8864" max="8864" width="17.140625" style="6" customWidth="1"/>
    <col min="8865" max="8865" width="17.42578125" style="6" customWidth="1"/>
    <col min="8866" max="8866" width="16.28515625" style="6" customWidth="1"/>
    <col min="8867" max="8867" width="19.28515625" style="6" customWidth="1"/>
    <col min="8868" max="8868" width="18" style="6" customWidth="1"/>
    <col min="8869" max="8869" width="18.28515625" style="6" customWidth="1"/>
    <col min="8870" max="8870" width="17.140625" style="6" customWidth="1"/>
    <col min="8871" max="8871" width="16.7109375" style="6" customWidth="1"/>
    <col min="8872" max="8872" width="17.7109375" style="6" customWidth="1"/>
    <col min="8873" max="8873" width="19.28515625" style="6" customWidth="1"/>
    <col min="8874" max="8874" width="17.28515625" style="6" customWidth="1"/>
    <col min="8875" max="8875" width="17.7109375" style="6" customWidth="1"/>
    <col min="8876" max="8876" width="19.7109375" style="6" customWidth="1"/>
    <col min="8877" max="8877" width="17.28515625" style="6" customWidth="1"/>
    <col min="8878" max="8878" width="18.28515625" style="6" customWidth="1"/>
    <col min="8879" max="8879" width="20.85546875" style="6" customWidth="1"/>
    <col min="8880" max="8880" width="17.28515625" style="6" customWidth="1"/>
    <col min="8881" max="8881" width="17.5703125" style="6" customWidth="1"/>
    <col min="8882" max="8882" width="18.42578125" style="6" customWidth="1"/>
    <col min="8883" max="8883" width="18.85546875" style="6" customWidth="1"/>
    <col min="8884" max="8884" width="19.7109375" style="6" customWidth="1"/>
    <col min="8885" max="8885" width="18" style="6" customWidth="1"/>
    <col min="8886" max="8886" width="19.140625" style="6" customWidth="1"/>
    <col min="8887" max="8887" width="19" style="6" customWidth="1"/>
    <col min="8888" max="8888" width="19.28515625" style="6" customWidth="1"/>
    <col min="8889" max="8890" width="19" style="6" customWidth="1"/>
    <col min="8891" max="8891" width="18.28515625" style="6" customWidth="1"/>
    <col min="8892" max="8892" width="19.5703125" style="6" customWidth="1"/>
    <col min="8893" max="8893" width="20.28515625" style="6" customWidth="1"/>
    <col min="8894" max="8894" width="8.7109375" style="6" customWidth="1"/>
    <col min="8895" max="8895" width="20.42578125" style="6" customWidth="1"/>
    <col min="8896" max="8896" width="18.28515625" style="6" customWidth="1"/>
    <col min="8897" max="8897" width="17.85546875" style="6" customWidth="1"/>
    <col min="8898" max="8898" width="19.28515625" style="6" customWidth="1"/>
    <col min="8899" max="8899" width="18.140625" style="6" customWidth="1"/>
    <col min="8900" max="8900" width="17.85546875" style="6" customWidth="1"/>
    <col min="8901" max="8901" width="18" style="6" customWidth="1"/>
    <col min="8902" max="8902" width="18.28515625" style="6" customWidth="1"/>
    <col min="8903" max="8903" width="19.42578125" style="6" customWidth="1"/>
    <col min="8904" max="8904" width="17.85546875" style="6" customWidth="1"/>
    <col min="8905" max="8905" width="18.85546875" style="6" customWidth="1"/>
    <col min="8906" max="8906" width="17.85546875" style="6" customWidth="1"/>
    <col min="8907" max="8907" width="18.5703125" style="6" customWidth="1"/>
    <col min="8908" max="8908" width="19.140625" style="6" customWidth="1"/>
    <col min="8909" max="8909" width="19.42578125" style="6" customWidth="1"/>
    <col min="8910" max="8910" width="17.7109375" style="6" customWidth="1"/>
    <col min="8911" max="8911" width="19.42578125" style="6" customWidth="1"/>
    <col min="8912" max="8912" width="19.28515625" style="6" customWidth="1"/>
    <col min="8913" max="8913" width="19.85546875" style="6" customWidth="1"/>
    <col min="8914" max="8914" width="12" style="6" customWidth="1"/>
    <col min="8915" max="8915" width="18.5703125" style="6" customWidth="1"/>
    <col min="8916" max="8916" width="17.85546875" style="6" customWidth="1"/>
    <col min="8917" max="8917" width="18.85546875" style="6" customWidth="1"/>
    <col min="8918" max="8918" width="19.140625" style="6" customWidth="1"/>
    <col min="8919" max="8919" width="18.85546875" style="6" customWidth="1"/>
    <col min="8920" max="8921" width="17.7109375" style="6" customWidth="1"/>
    <col min="8922" max="8922" width="19.42578125" style="6" customWidth="1"/>
    <col min="8923" max="8923" width="18.5703125" style="6" customWidth="1"/>
    <col min="8924" max="8924" width="17.140625" style="6" customWidth="1"/>
    <col min="8925" max="8925" width="17" style="6" customWidth="1"/>
    <col min="8926" max="8926" width="16.28515625" style="6" customWidth="1"/>
    <col min="8927" max="8927" width="17.85546875" style="6" customWidth="1"/>
    <col min="8928" max="8928" width="18.5703125" style="6" customWidth="1"/>
    <col min="8929" max="8929" width="17.42578125" style="6" customWidth="1"/>
    <col min="8930" max="8930" width="16.5703125" style="6" customWidth="1"/>
    <col min="8931" max="8931" width="17.28515625" style="6" customWidth="1"/>
    <col min="8932" max="8932" width="19" style="6" customWidth="1"/>
    <col min="8933" max="8933" width="18.5703125" style="6" customWidth="1"/>
    <col min="8934" max="8934" width="9.28515625" style="6" customWidth="1"/>
    <col min="8935" max="8935" width="18.7109375" style="6" customWidth="1"/>
    <col min="8936" max="8942" width="18.5703125" style="6" customWidth="1"/>
    <col min="8943" max="8943" width="20.140625" style="6" customWidth="1"/>
    <col min="8944" max="8944" width="18.5703125" style="6" customWidth="1"/>
    <col min="8945" max="8946" width="0" style="6" hidden="1" customWidth="1"/>
    <col min="8947" max="8947" width="18.5703125" style="6" customWidth="1"/>
    <col min="8948" max="8951" width="0" style="6" hidden="1" customWidth="1"/>
    <col min="8952" max="8952" width="15.5703125" style="6" customWidth="1"/>
    <col min="8953" max="8953" width="19" style="6" customWidth="1"/>
    <col min="8954" max="8954" width="18.5703125" style="6" customWidth="1"/>
    <col min="8955" max="9073" width="11.42578125" style="6"/>
    <col min="9074" max="9074" width="44" style="6" customWidth="1"/>
    <col min="9075" max="9077" width="0" style="6" hidden="1" customWidth="1"/>
    <col min="9078" max="9078" width="12.7109375" style="6" customWidth="1"/>
    <col min="9079" max="9079" width="10.28515625" style="6" bestFit="1" customWidth="1"/>
    <col min="9080" max="9080" width="10.28515625" style="6" customWidth="1"/>
    <col min="9081" max="9081" width="9.7109375" style="6" customWidth="1"/>
    <col min="9082" max="9082" width="12.7109375" style="6" customWidth="1"/>
    <col min="9083" max="9083" width="12" style="6" customWidth="1"/>
    <col min="9084" max="9084" width="11.5703125" style="6" customWidth="1"/>
    <col min="9085" max="9085" width="10" style="6" customWidth="1"/>
    <col min="9086" max="9086" width="9" style="6" customWidth="1"/>
    <col min="9087" max="9087" width="8.7109375" style="6" customWidth="1"/>
    <col min="9088" max="9088" width="9.5703125" style="6" customWidth="1"/>
    <col min="9089" max="9089" width="17.140625" style="6" customWidth="1"/>
    <col min="9090" max="9090" width="8.85546875" style="6" customWidth="1"/>
    <col min="9091" max="9109" width="18.7109375" style="6" customWidth="1"/>
    <col min="9110" max="9110" width="17.5703125" style="6" customWidth="1"/>
    <col min="9111" max="9111" width="21.5703125" style="6" customWidth="1"/>
    <col min="9112" max="9112" width="18.42578125" style="6" customWidth="1"/>
    <col min="9113" max="9113" width="20.140625" style="6" customWidth="1"/>
    <col min="9114" max="9114" width="18.7109375" style="6" customWidth="1"/>
    <col min="9115" max="9115" width="17.7109375" style="6" customWidth="1"/>
    <col min="9116" max="9117" width="18.85546875" style="6" customWidth="1"/>
    <col min="9118" max="9118" width="18.28515625" style="6" customWidth="1"/>
    <col min="9119" max="9119" width="20.140625" style="6" customWidth="1"/>
    <col min="9120" max="9120" width="17.140625" style="6" customWidth="1"/>
    <col min="9121" max="9121" width="17.42578125" style="6" customWidth="1"/>
    <col min="9122" max="9122" width="16.28515625" style="6" customWidth="1"/>
    <col min="9123" max="9123" width="19.28515625" style="6" customWidth="1"/>
    <col min="9124" max="9124" width="18" style="6" customWidth="1"/>
    <col min="9125" max="9125" width="18.28515625" style="6" customWidth="1"/>
    <col min="9126" max="9126" width="17.140625" style="6" customWidth="1"/>
    <col min="9127" max="9127" width="16.7109375" style="6" customWidth="1"/>
    <col min="9128" max="9128" width="17.7109375" style="6" customWidth="1"/>
    <col min="9129" max="9129" width="19.28515625" style="6" customWidth="1"/>
    <col min="9130" max="9130" width="17.28515625" style="6" customWidth="1"/>
    <col min="9131" max="9131" width="17.7109375" style="6" customWidth="1"/>
    <col min="9132" max="9132" width="19.7109375" style="6" customWidth="1"/>
    <col min="9133" max="9133" width="17.28515625" style="6" customWidth="1"/>
    <col min="9134" max="9134" width="18.28515625" style="6" customWidth="1"/>
    <col min="9135" max="9135" width="20.85546875" style="6" customWidth="1"/>
    <col min="9136" max="9136" width="17.28515625" style="6" customWidth="1"/>
    <col min="9137" max="9137" width="17.5703125" style="6" customWidth="1"/>
    <col min="9138" max="9138" width="18.42578125" style="6" customWidth="1"/>
    <col min="9139" max="9139" width="18.85546875" style="6" customWidth="1"/>
    <col min="9140" max="9140" width="19.7109375" style="6" customWidth="1"/>
    <col min="9141" max="9141" width="18" style="6" customWidth="1"/>
    <col min="9142" max="9142" width="19.140625" style="6" customWidth="1"/>
    <col min="9143" max="9143" width="19" style="6" customWidth="1"/>
    <col min="9144" max="9144" width="19.28515625" style="6" customWidth="1"/>
    <col min="9145" max="9146" width="19" style="6" customWidth="1"/>
    <col min="9147" max="9147" width="18.28515625" style="6" customWidth="1"/>
    <col min="9148" max="9148" width="19.5703125" style="6" customWidth="1"/>
    <col min="9149" max="9149" width="20.28515625" style="6" customWidth="1"/>
    <col min="9150" max="9150" width="8.7109375" style="6" customWidth="1"/>
    <col min="9151" max="9151" width="20.42578125" style="6" customWidth="1"/>
    <col min="9152" max="9152" width="18.28515625" style="6" customWidth="1"/>
    <col min="9153" max="9153" width="17.85546875" style="6" customWidth="1"/>
    <col min="9154" max="9154" width="19.28515625" style="6" customWidth="1"/>
    <col min="9155" max="9155" width="18.140625" style="6" customWidth="1"/>
    <col min="9156" max="9156" width="17.85546875" style="6" customWidth="1"/>
    <col min="9157" max="9157" width="18" style="6" customWidth="1"/>
    <col min="9158" max="9158" width="18.28515625" style="6" customWidth="1"/>
    <col min="9159" max="9159" width="19.42578125" style="6" customWidth="1"/>
    <col min="9160" max="9160" width="17.85546875" style="6" customWidth="1"/>
    <col min="9161" max="9161" width="18.85546875" style="6" customWidth="1"/>
    <col min="9162" max="9162" width="17.85546875" style="6" customWidth="1"/>
    <col min="9163" max="9163" width="18.5703125" style="6" customWidth="1"/>
    <col min="9164" max="9164" width="19.140625" style="6" customWidth="1"/>
    <col min="9165" max="9165" width="19.42578125" style="6" customWidth="1"/>
    <col min="9166" max="9166" width="17.7109375" style="6" customWidth="1"/>
    <col min="9167" max="9167" width="19.42578125" style="6" customWidth="1"/>
    <col min="9168" max="9168" width="19.28515625" style="6" customWidth="1"/>
    <col min="9169" max="9169" width="19.85546875" style="6" customWidth="1"/>
    <col min="9170" max="9170" width="12" style="6" customWidth="1"/>
    <col min="9171" max="9171" width="18.5703125" style="6" customWidth="1"/>
    <col min="9172" max="9172" width="17.85546875" style="6" customWidth="1"/>
    <col min="9173" max="9173" width="18.85546875" style="6" customWidth="1"/>
    <col min="9174" max="9174" width="19.140625" style="6" customWidth="1"/>
    <col min="9175" max="9175" width="18.85546875" style="6" customWidth="1"/>
    <col min="9176" max="9177" width="17.7109375" style="6" customWidth="1"/>
    <col min="9178" max="9178" width="19.42578125" style="6" customWidth="1"/>
    <col min="9179" max="9179" width="18.5703125" style="6" customWidth="1"/>
    <col min="9180" max="9180" width="17.140625" style="6" customWidth="1"/>
    <col min="9181" max="9181" width="17" style="6" customWidth="1"/>
    <col min="9182" max="9182" width="16.28515625" style="6" customWidth="1"/>
    <col min="9183" max="9183" width="17.85546875" style="6" customWidth="1"/>
    <col min="9184" max="9184" width="18.5703125" style="6" customWidth="1"/>
    <col min="9185" max="9185" width="17.42578125" style="6" customWidth="1"/>
    <col min="9186" max="9186" width="16.5703125" style="6" customWidth="1"/>
    <col min="9187" max="9187" width="17.28515625" style="6" customWidth="1"/>
    <col min="9188" max="9188" width="19" style="6" customWidth="1"/>
    <col min="9189" max="9189" width="18.5703125" style="6" customWidth="1"/>
    <col min="9190" max="9190" width="9.28515625" style="6" customWidth="1"/>
    <col min="9191" max="9191" width="18.7109375" style="6" customWidth="1"/>
    <col min="9192" max="9198" width="18.5703125" style="6" customWidth="1"/>
    <col min="9199" max="9199" width="20.140625" style="6" customWidth="1"/>
    <col min="9200" max="9200" width="18.5703125" style="6" customWidth="1"/>
    <col min="9201" max="9202" width="0" style="6" hidden="1" customWidth="1"/>
    <col min="9203" max="9203" width="18.5703125" style="6" customWidth="1"/>
    <col min="9204" max="9207" width="0" style="6" hidden="1" customWidth="1"/>
    <col min="9208" max="9208" width="15.5703125" style="6" customWidth="1"/>
    <col min="9209" max="9209" width="19" style="6" customWidth="1"/>
    <col min="9210" max="9210" width="18.5703125" style="6" customWidth="1"/>
    <col min="9211" max="9329" width="11.42578125" style="6"/>
    <col min="9330" max="9330" width="44" style="6" customWidth="1"/>
    <col min="9331" max="9333" width="0" style="6" hidden="1" customWidth="1"/>
    <col min="9334" max="9334" width="12.7109375" style="6" customWidth="1"/>
    <col min="9335" max="9335" width="10.28515625" style="6" bestFit="1" customWidth="1"/>
    <col min="9336" max="9336" width="10.28515625" style="6" customWidth="1"/>
    <col min="9337" max="9337" width="9.7109375" style="6" customWidth="1"/>
    <col min="9338" max="9338" width="12.7109375" style="6" customWidth="1"/>
    <col min="9339" max="9339" width="12" style="6" customWidth="1"/>
    <col min="9340" max="9340" width="11.5703125" style="6" customWidth="1"/>
    <col min="9341" max="9341" width="10" style="6" customWidth="1"/>
    <col min="9342" max="9342" width="9" style="6" customWidth="1"/>
    <col min="9343" max="9343" width="8.7109375" style="6" customWidth="1"/>
    <col min="9344" max="9344" width="9.5703125" style="6" customWidth="1"/>
    <col min="9345" max="9345" width="17.140625" style="6" customWidth="1"/>
    <col min="9346" max="9346" width="8.85546875" style="6" customWidth="1"/>
    <col min="9347" max="9365" width="18.7109375" style="6" customWidth="1"/>
    <col min="9366" max="9366" width="17.5703125" style="6" customWidth="1"/>
    <col min="9367" max="9367" width="21.5703125" style="6" customWidth="1"/>
    <col min="9368" max="9368" width="18.42578125" style="6" customWidth="1"/>
    <col min="9369" max="9369" width="20.140625" style="6" customWidth="1"/>
    <col min="9370" max="9370" width="18.7109375" style="6" customWidth="1"/>
    <col min="9371" max="9371" width="17.7109375" style="6" customWidth="1"/>
    <col min="9372" max="9373" width="18.85546875" style="6" customWidth="1"/>
    <col min="9374" max="9374" width="18.28515625" style="6" customWidth="1"/>
    <col min="9375" max="9375" width="20.140625" style="6" customWidth="1"/>
    <col min="9376" max="9376" width="17.140625" style="6" customWidth="1"/>
    <col min="9377" max="9377" width="17.42578125" style="6" customWidth="1"/>
    <col min="9378" max="9378" width="16.28515625" style="6" customWidth="1"/>
    <col min="9379" max="9379" width="19.28515625" style="6" customWidth="1"/>
    <col min="9380" max="9380" width="18" style="6" customWidth="1"/>
    <col min="9381" max="9381" width="18.28515625" style="6" customWidth="1"/>
    <col min="9382" max="9382" width="17.140625" style="6" customWidth="1"/>
    <col min="9383" max="9383" width="16.7109375" style="6" customWidth="1"/>
    <col min="9384" max="9384" width="17.7109375" style="6" customWidth="1"/>
    <col min="9385" max="9385" width="19.28515625" style="6" customWidth="1"/>
    <col min="9386" max="9386" width="17.28515625" style="6" customWidth="1"/>
    <col min="9387" max="9387" width="17.7109375" style="6" customWidth="1"/>
    <col min="9388" max="9388" width="19.7109375" style="6" customWidth="1"/>
    <col min="9389" max="9389" width="17.28515625" style="6" customWidth="1"/>
    <col min="9390" max="9390" width="18.28515625" style="6" customWidth="1"/>
    <col min="9391" max="9391" width="20.85546875" style="6" customWidth="1"/>
    <col min="9392" max="9392" width="17.28515625" style="6" customWidth="1"/>
    <col min="9393" max="9393" width="17.5703125" style="6" customWidth="1"/>
    <col min="9394" max="9394" width="18.42578125" style="6" customWidth="1"/>
    <col min="9395" max="9395" width="18.85546875" style="6" customWidth="1"/>
    <col min="9396" max="9396" width="19.7109375" style="6" customWidth="1"/>
    <col min="9397" max="9397" width="18" style="6" customWidth="1"/>
    <col min="9398" max="9398" width="19.140625" style="6" customWidth="1"/>
    <col min="9399" max="9399" width="19" style="6" customWidth="1"/>
    <col min="9400" max="9400" width="19.28515625" style="6" customWidth="1"/>
    <col min="9401" max="9402" width="19" style="6" customWidth="1"/>
    <col min="9403" max="9403" width="18.28515625" style="6" customWidth="1"/>
    <col min="9404" max="9404" width="19.5703125" style="6" customWidth="1"/>
    <col min="9405" max="9405" width="20.28515625" style="6" customWidth="1"/>
    <col min="9406" max="9406" width="8.7109375" style="6" customWidth="1"/>
    <col min="9407" max="9407" width="20.42578125" style="6" customWidth="1"/>
    <col min="9408" max="9408" width="18.28515625" style="6" customWidth="1"/>
    <col min="9409" max="9409" width="17.85546875" style="6" customWidth="1"/>
    <col min="9410" max="9410" width="19.28515625" style="6" customWidth="1"/>
    <col min="9411" max="9411" width="18.140625" style="6" customWidth="1"/>
    <col min="9412" max="9412" width="17.85546875" style="6" customWidth="1"/>
    <col min="9413" max="9413" width="18" style="6" customWidth="1"/>
    <col min="9414" max="9414" width="18.28515625" style="6" customWidth="1"/>
    <col min="9415" max="9415" width="19.42578125" style="6" customWidth="1"/>
    <col min="9416" max="9416" width="17.85546875" style="6" customWidth="1"/>
    <col min="9417" max="9417" width="18.85546875" style="6" customWidth="1"/>
    <col min="9418" max="9418" width="17.85546875" style="6" customWidth="1"/>
    <col min="9419" max="9419" width="18.5703125" style="6" customWidth="1"/>
    <col min="9420" max="9420" width="19.140625" style="6" customWidth="1"/>
    <col min="9421" max="9421" width="19.42578125" style="6" customWidth="1"/>
    <col min="9422" max="9422" width="17.7109375" style="6" customWidth="1"/>
    <col min="9423" max="9423" width="19.42578125" style="6" customWidth="1"/>
    <col min="9424" max="9424" width="19.28515625" style="6" customWidth="1"/>
    <col min="9425" max="9425" width="19.85546875" style="6" customWidth="1"/>
    <col min="9426" max="9426" width="12" style="6" customWidth="1"/>
    <col min="9427" max="9427" width="18.5703125" style="6" customWidth="1"/>
    <col min="9428" max="9428" width="17.85546875" style="6" customWidth="1"/>
    <col min="9429" max="9429" width="18.85546875" style="6" customWidth="1"/>
    <col min="9430" max="9430" width="19.140625" style="6" customWidth="1"/>
    <col min="9431" max="9431" width="18.85546875" style="6" customWidth="1"/>
    <col min="9432" max="9433" width="17.7109375" style="6" customWidth="1"/>
    <col min="9434" max="9434" width="19.42578125" style="6" customWidth="1"/>
    <col min="9435" max="9435" width="18.5703125" style="6" customWidth="1"/>
    <col min="9436" max="9436" width="17.140625" style="6" customWidth="1"/>
    <col min="9437" max="9437" width="17" style="6" customWidth="1"/>
    <col min="9438" max="9438" width="16.28515625" style="6" customWidth="1"/>
    <col min="9439" max="9439" width="17.85546875" style="6" customWidth="1"/>
    <col min="9440" max="9440" width="18.5703125" style="6" customWidth="1"/>
    <col min="9441" max="9441" width="17.42578125" style="6" customWidth="1"/>
    <col min="9442" max="9442" width="16.5703125" style="6" customWidth="1"/>
    <col min="9443" max="9443" width="17.28515625" style="6" customWidth="1"/>
    <col min="9444" max="9444" width="19" style="6" customWidth="1"/>
    <col min="9445" max="9445" width="18.5703125" style="6" customWidth="1"/>
    <col min="9446" max="9446" width="9.28515625" style="6" customWidth="1"/>
    <col min="9447" max="9447" width="18.7109375" style="6" customWidth="1"/>
    <col min="9448" max="9454" width="18.5703125" style="6" customWidth="1"/>
    <col min="9455" max="9455" width="20.140625" style="6" customWidth="1"/>
    <col min="9456" max="9456" width="18.5703125" style="6" customWidth="1"/>
    <col min="9457" max="9458" width="0" style="6" hidden="1" customWidth="1"/>
    <col min="9459" max="9459" width="18.5703125" style="6" customWidth="1"/>
    <col min="9460" max="9463" width="0" style="6" hidden="1" customWidth="1"/>
    <col min="9464" max="9464" width="15.5703125" style="6" customWidth="1"/>
    <col min="9465" max="9465" width="19" style="6" customWidth="1"/>
    <col min="9466" max="9466" width="18.5703125" style="6" customWidth="1"/>
    <col min="9467" max="9585" width="11.42578125" style="6"/>
    <col min="9586" max="9586" width="44" style="6" customWidth="1"/>
    <col min="9587" max="9589" width="0" style="6" hidden="1" customWidth="1"/>
    <col min="9590" max="9590" width="12.7109375" style="6" customWidth="1"/>
    <col min="9591" max="9591" width="10.28515625" style="6" bestFit="1" customWidth="1"/>
    <col min="9592" max="9592" width="10.28515625" style="6" customWidth="1"/>
    <col min="9593" max="9593" width="9.7109375" style="6" customWidth="1"/>
    <col min="9594" max="9594" width="12.7109375" style="6" customWidth="1"/>
    <col min="9595" max="9595" width="12" style="6" customWidth="1"/>
    <col min="9596" max="9596" width="11.5703125" style="6" customWidth="1"/>
    <col min="9597" max="9597" width="10" style="6" customWidth="1"/>
    <col min="9598" max="9598" width="9" style="6" customWidth="1"/>
    <col min="9599" max="9599" width="8.7109375" style="6" customWidth="1"/>
    <col min="9600" max="9600" width="9.5703125" style="6" customWidth="1"/>
    <col min="9601" max="9601" width="17.140625" style="6" customWidth="1"/>
    <col min="9602" max="9602" width="8.85546875" style="6" customWidth="1"/>
    <col min="9603" max="9621" width="18.7109375" style="6" customWidth="1"/>
    <col min="9622" max="9622" width="17.5703125" style="6" customWidth="1"/>
    <col min="9623" max="9623" width="21.5703125" style="6" customWidth="1"/>
    <col min="9624" max="9624" width="18.42578125" style="6" customWidth="1"/>
    <col min="9625" max="9625" width="20.140625" style="6" customWidth="1"/>
    <col min="9626" max="9626" width="18.7109375" style="6" customWidth="1"/>
    <col min="9627" max="9627" width="17.7109375" style="6" customWidth="1"/>
    <col min="9628" max="9629" width="18.85546875" style="6" customWidth="1"/>
    <col min="9630" max="9630" width="18.28515625" style="6" customWidth="1"/>
    <col min="9631" max="9631" width="20.140625" style="6" customWidth="1"/>
    <col min="9632" max="9632" width="17.140625" style="6" customWidth="1"/>
    <col min="9633" max="9633" width="17.42578125" style="6" customWidth="1"/>
    <col min="9634" max="9634" width="16.28515625" style="6" customWidth="1"/>
    <col min="9635" max="9635" width="19.28515625" style="6" customWidth="1"/>
    <col min="9636" max="9636" width="18" style="6" customWidth="1"/>
    <col min="9637" max="9637" width="18.28515625" style="6" customWidth="1"/>
    <col min="9638" max="9638" width="17.140625" style="6" customWidth="1"/>
    <col min="9639" max="9639" width="16.7109375" style="6" customWidth="1"/>
    <col min="9640" max="9640" width="17.7109375" style="6" customWidth="1"/>
    <col min="9641" max="9641" width="19.28515625" style="6" customWidth="1"/>
    <col min="9642" max="9642" width="17.28515625" style="6" customWidth="1"/>
    <col min="9643" max="9643" width="17.7109375" style="6" customWidth="1"/>
    <col min="9644" max="9644" width="19.7109375" style="6" customWidth="1"/>
    <col min="9645" max="9645" width="17.28515625" style="6" customWidth="1"/>
    <col min="9646" max="9646" width="18.28515625" style="6" customWidth="1"/>
    <col min="9647" max="9647" width="20.85546875" style="6" customWidth="1"/>
    <col min="9648" max="9648" width="17.28515625" style="6" customWidth="1"/>
    <col min="9649" max="9649" width="17.5703125" style="6" customWidth="1"/>
    <col min="9650" max="9650" width="18.42578125" style="6" customWidth="1"/>
    <col min="9651" max="9651" width="18.85546875" style="6" customWidth="1"/>
    <col min="9652" max="9652" width="19.7109375" style="6" customWidth="1"/>
    <col min="9653" max="9653" width="18" style="6" customWidth="1"/>
    <col min="9654" max="9654" width="19.140625" style="6" customWidth="1"/>
    <col min="9655" max="9655" width="19" style="6" customWidth="1"/>
    <col min="9656" max="9656" width="19.28515625" style="6" customWidth="1"/>
    <col min="9657" max="9658" width="19" style="6" customWidth="1"/>
    <col min="9659" max="9659" width="18.28515625" style="6" customWidth="1"/>
    <col min="9660" max="9660" width="19.5703125" style="6" customWidth="1"/>
    <col min="9661" max="9661" width="20.28515625" style="6" customWidth="1"/>
    <col min="9662" max="9662" width="8.7109375" style="6" customWidth="1"/>
    <col min="9663" max="9663" width="20.42578125" style="6" customWidth="1"/>
    <col min="9664" max="9664" width="18.28515625" style="6" customWidth="1"/>
    <col min="9665" max="9665" width="17.85546875" style="6" customWidth="1"/>
    <col min="9666" max="9666" width="19.28515625" style="6" customWidth="1"/>
    <col min="9667" max="9667" width="18.140625" style="6" customWidth="1"/>
    <col min="9668" max="9668" width="17.85546875" style="6" customWidth="1"/>
    <col min="9669" max="9669" width="18" style="6" customWidth="1"/>
    <col min="9670" max="9670" width="18.28515625" style="6" customWidth="1"/>
    <col min="9671" max="9671" width="19.42578125" style="6" customWidth="1"/>
    <col min="9672" max="9672" width="17.85546875" style="6" customWidth="1"/>
    <col min="9673" max="9673" width="18.85546875" style="6" customWidth="1"/>
    <col min="9674" max="9674" width="17.85546875" style="6" customWidth="1"/>
    <col min="9675" max="9675" width="18.5703125" style="6" customWidth="1"/>
    <col min="9676" max="9676" width="19.140625" style="6" customWidth="1"/>
    <col min="9677" max="9677" width="19.42578125" style="6" customWidth="1"/>
    <col min="9678" max="9678" width="17.7109375" style="6" customWidth="1"/>
    <col min="9679" max="9679" width="19.42578125" style="6" customWidth="1"/>
    <col min="9680" max="9680" width="19.28515625" style="6" customWidth="1"/>
    <col min="9681" max="9681" width="19.85546875" style="6" customWidth="1"/>
    <col min="9682" max="9682" width="12" style="6" customWidth="1"/>
    <col min="9683" max="9683" width="18.5703125" style="6" customWidth="1"/>
    <col min="9684" max="9684" width="17.85546875" style="6" customWidth="1"/>
    <col min="9685" max="9685" width="18.85546875" style="6" customWidth="1"/>
    <col min="9686" max="9686" width="19.140625" style="6" customWidth="1"/>
    <col min="9687" max="9687" width="18.85546875" style="6" customWidth="1"/>
    <col min="9688" max="9689" width="17.7109375" style="6" customWidth="1"/>
    <col min="9690" max="9690" width="19.42578125" style="6" customWidth="1"/>
    <col min="9691" max="9691" width="18.5703125" style="6" customWidth="1"/>
    <col min="9692" max="9692" width="17.140625" style="6" customWidth="1"/>
    <col min="9693" max="9693" width="17" style="6" customWidth="1"/>
    <col min="9694" max="9694" width="16.28515625" style="6" customWidth="1"/>
    <col min="9695" max="9695" width="17.85546875" style="6" customWidth="1"/>
    <col min="9696" max="9696" width="18.5703125" style="6" customWidth="1"/>
    <col min="9697" max="9697" width="17.42578125" style="6" customWidth="1"/>
    <col min="9698" max="9698" width="16.5703125" style="6" customWidth="1"/>
    <col min="9699" max="9699" width="17.28515625" style="6" customWidth="1"/>
    <col min="9700" max="9700" width="19" style="6" customWidth="1"/>
    <col min="9701" max="9701" width="18.5703125" style="6" customWidth="1"/>
    <col min="9702" max="9702" width="9.28515625" style="6" customWidth="1"/>
    <col min="9703" max="9703" width="18.7109375" style="6" customWidth="1"/>
    <col min="9704" max="9710" width="18.5703125" style="6" customWidth="1"/>
    <col min="9711" max="9711" width="20.140625" style="6" customWidth="1"/>
    <col min="9712" max="9712" width="18.5703125" style="6" customWidth="1"/>
    <col min="9713" max="9714" width="0" style="6" hidden="1" customWidth="1"/>
    <col min="9715" max="9715" width="18.5703125" style="6" customWidth="1"/>
    <col min="9716" max="9719" width="0" style="6" hidden="1" customWidth="1"/>
    <col min="9720" max="9720" width="15.5703125" style="6" customWidth="1"/>
    <col min="9721" max="9721" width="19" style="6" customWidth="1"/>
    <col min="9722" max="9722" width="18.5703125" style="6" customWidth="1"/>
    <col min="9723" max="9841" width="11.42578125" style="6"/>
    <col min="9842" max="9842" width="44" style="6" customWidth="1"/>
    <col min="9843" max="9845" width="0" style="6" hidden="1" customWidth="1"/>
    <col min="9846" max="9846" width="12.7109375" style="6" customWidth="1"/>
    <col min="9847" max="9847" width="10.28515625" style="6" bestFit="1" customWidth="1"/>
    <col min="9848" max="9848" width="10.28515625" style="6" customWidth="1"/>
    <col min="9849" max="9849" width="9.7109375" style="6" customWidth="1"/>
    <col min="9850" max="9850" width="12.7109375" style="6" customWidth="1"/>
    <col min="9851" max="9851" width="12" style="6" customWidth="1"/>
    <col min="9852" max="9852" width="11.5703125" style="6" customWidth="1"/>
    <col min="9853" max="9853" width="10" style="6" customWidth="1"/>
    <col min="9854" max="9854" width="9" style="6" customWidth="1"/>
    <col min="9855" max="9855" width="8.7109375" style="6" customWidth="1"/>
    <col min="9856" max="9856" width="9.5703125" style="6" customWidth="1"/>
    <col min="9857" max="9857" width="17.140625" style="6" customWidth="1"/>
    <col min="9858" max="9858" width="8.85546875" style="6" customWidth="1"/>
    <col min="9859" max="9877" width="18.7109375" style="6" customWidth="1"/>
    <col min="9878" max="9878" width="17.5703125" style="6" customWidth="1"/>
    <col min="9879" max="9879" width="21.5703125" style="6" customWidth="1"/>
    <col min="9880" max="9880" width="18.42578125" style="6" customWidth="1"/>
    <col min="9881" max="9881" width="20.140625" style="6" customWidth="1"/>
    <col min="9882" max="9882" width="18.7109375" style="6" customWidth="1"/>
    <col min="9883" max="9883" width="17.7109375" style="6" customWidth="1"/>
    <col min="9884" max="9885" width="18.85546875" style="6" customWidth="1"/>
    <col min="9886" max="9886" width="18.28515625" style="6" customWidth="1"/>
    <col min="9887" max="9887" width="20.140625" style="6" customWidth="1"/>
    <col min="9888" max="9888" width="17.140625" style="6" customWidth="1"/>
    <col min="9889" max="9889" width="17.42578125" style="6" customWidth="1"/>
    <col min="9890" max="9890" width="16.28515625" style="6" customWidth="1"/>
    <col min="9891" max="9891" width="19.28515625" style="6" customWidth="1"/>
    <col min="9892" max="9892" width="18" style="6" customWidth="1"/>
    <col min="9893" max="9893" width="18.28515625" style="6" customWidth="1"/>
    <col min="9894" max="9894" width="17.140625" style="6" customWidth="1"/>
    <col min="9895" max="9895" width="16.7109375" style="6" customWidth="1"/>
    <col min="9896" max="9896" width="17.7109375" style="6" customWidth="1"/>
    <col min="9897" max="9897" width="19.28515625" style="6" customWidth="1"/>
    <col min="9898" max="9898" width="17.28515625" style="6" customWidth="1"/>
    <col min="9899" max="9899" width="17.7109375" style="6" customWidth="1"/>
    <col min="9900" max="9900" width="19.7109375" style="6" customWidth="1"/>
    <col min="9901" max="9901" width="17.28515625" style="6" customWidth="1"/>
    <col min="9902" max="9902" width="18.28515625" style="6" customWidth="1"/>
    <col min="9903" max="9903" width="20.85546875" style="6" customWidth="1"/>
    <col min="9904" max="9904" width="17.28515625" style="6" customWidth="1"/>
    <col min="9905" max="9905" width="17.5703125" style="6" customWidth="1"/>
    <col min="9906" max="9906" width="18.42578125" style="6" customWidth="1"/>
    <col min="9907" max="9907" width="18.85546875" style="6" customWidth="1"/>
    <col min="9908" max="9908" width="19.7109375" style="6" customWidth="1"/>
    <col min="9909" max="9909" width="18" style="6" customWidth="1"/>
    <col min="9910" max="9910" width="19.140625" style="6" customWidth="1"/>
    <col min="9911" max="9911" width="19" style="6" customWidth="1"/>
    <col min="9912" max="9912" width="19.28515625" style="6" customWidth="1"/>
    <col min="9913" max="9914" width="19" style="6" customWidth="1"/>
    <col min="9915" max="9915" width="18.28515625" style="6" customWidth="1"/>
    <col min="9916" max="9916" width="19.5703125" style="6" customWidth="1"/>
    <col min="9917" max="9917" width="20.28515625" style="6" customWidth="1"/>
    <col min="9918" max="9918" width="8.7109375" style="6" customWidth="1"/>
    <col min="9919" max="9919" width="20.42578125" style="6" customWidth="1"/>
    <col min="9920" max="9920" width="18.28515625" style="6" customWidth="1"/>
    <col min="9921" max="9921" width="17.85546875" style="6" customWidth="1"/>
    <col min="9922" max="9922" width="19.28515625" style="6" customWidth="1"/>
    <col min="9923" max="9923" width="18.140625" style="6" customWidth="1"/>
    <col min="9924" max="9924" width="17.85546875" style="6" customWidth="1"/>
    <col min="9925" max="9925" width="18" style="6" customWidth="1"/>
    <col min="9926" max="9926" width="18.28515625" style="6" customWidth="1"/>
    <col min="9927" max="9927" width="19.42578125" style="6" customWidth="1"/>
    <col min="9928" max="9928" width="17.85546875" style="6" customWidth="1"/>
    <col min="9929" max="9929" width="18.85546875" style="6" customWidth="1"/>
    <col min="9930" max="9930" width="17.85546875" style="6" customWidth="1"/>
    <col min="9931" max="9931" width="18.5703125" style="6" customWidth="1"/>
    <col min="9932" max="9932" width="19.140625" style="6" customWidth="1"/>
    <col min="9933" max="9933" width="19.42578125" style="6" customWidth="1"/>
    <col min="9934" max="9934" width="17.7109375" style="6" customWidth="1"/>
    <col min="9935" max="9935" width="19.42578125" style="6" customWidth="1"/>
    <col min="9936" max="9936" width="19.28515625" style="6" customWidth="1"/>
    <col min="9937" max="9937" width="19.85546875" style="6" customWidth="1"/>
    <col min="9938" max="9938" width="12" style="6" customWidth="1"/>
    <col min="9939" max="9939" width="18.5703125" style="6" customWidth="1"/>
    <col min="9940" max="9940" width="17.85546875" style="6" customWidth="1"/>
    <col min="9941" max="9941" width="18.85546875" style="6" customWidth="1"/>
    <col min="9942" max="9942" width="19.140625" style="6" customWidth="1"/>
    <col min="9943" max="9943" width="18.85546875" style="6" customWidth="1"/>
    <col min="9944" max="9945" width="17.7109375" style="6" customWidth="1"/>
    <col min="9946" max="9946" width="19.42578125" style="6" customWidth="1"/>
    <col min="9947" max="9947" width="18.5703125" style="6" customWidth="1"/>
    <col min="9948" max="9948" width="17.140625" style="6" customWidth="1"/>
    <col min="9949" max="9949" width="17" style="6" customWidth="1"/>
    <col min="9950" max="9950" width="16.28515625" style="6" customWidth="1"/>
    <col min="9951" max="9951" width="17.85546875" style="6" customWidth="1"/>
    <col min="9952" max="9952" width="18.5703125" style="6" customWidth="1"/>
    <col min="9953" max="9953" width="17.42578125" style="6" customWidth="1"/>
    <col min="9954" max="9954" width="16.5703125" style="6" customWidth="1"/>
    <col min="9955" max="9955" width="17.28515625" style="6" customWidth="1"/>
    <col min="9956" max="9956" width="19" style="6" customWidth="1"/>
    <col min="9957" max="9957" width="18.5703125" style="6" customWidth="1"/>
    <col min="9958" max="9958" width="9.28515625" style="6" customWidth="1"/>
    <col min="9959" max="9959" width="18.7109375" style="6" customWidth="1"/>
    <col min="9960" max="9966" width="18.5703125" style="6" customWidth="1"/>
    <col min="9967" max="9967" width="20.140625" style="6" customWidth="1"/>
    <col min="9968" max="9968" width="18.5703125" style="6" customWidth="1"/>
    <col min="9969" max="9970" width="0" style="6" hidden="1" customWidth="1"/>
    <col min="9971" max="9971" width="18.5703125" style="6" customWidth="1"/>
    <col min="9972" max="9975" width="0" style="6" hidden="1" customWidth="1"/>
    <col min="9976" max="9976" width="15.5703125" style="6" customWidth="1"/>
    <col min="9977" max="9977" width="19" style="6" customWidth="1"/>
    <col min="9978" max="9978" width="18.5703125" style="6" customWidth="1"/>
    <col min="9979" max="10097" width="11.42578125" style="6"/>
    <col min="10098" max="10098" width="44" style="6" customWidth="1"/>
    <col min="10099" max="10101" width="0" style="6" hidden="1" customWidth="1"/>
    <col min="10102" max="10102" width="12.7109375" style="6" customWidth="1"/>
    <col min="10103" max="10103" width="10.28515625" style="6" bestFit="1" customWidth="1"/>
    <col min="10104" max="10104" width="10.28515625" style="6" customWidth="1"/>
    <col min="10105" max="10105" width="9.7109375" style="6" customWidth="1"/>
    <col min="10106" max="10106" width="12.7109375" style="6" customWidth="1"/>
    <col min="10107" max="10107" width="12" style="6" customWidth="1"/>
    <col min="10108" max="10108" width="11.5703125" style="6" customWidth="1"/>
    <col min="10109" max="10109" width="10" style="6" customWidth="1"/>
    <col min="10110" max="10110" width="9" style="6" customWidth="1"/>
    <col min="10111" max="10111" width="8.7109375" style="6" customWidth="1"/>
    <col min="10112" max="10112" width="9.5703125" style="6" customWidth="1"/>
    <col min="10113" max="10113" width="17.140625" style="6" customWidth="1"/>
    <col min="10114" max="10114" width="8.85546875" style="6" customWidth="1"/>
    <col min="10115" max="10133" width="18.7109375" style="6" customWidth="1"/>
    <col min="10134" max="10134" width="17.5703125" style="6" customWidth="1"/>
    <col min="10135" max="10135" width="21.5703125" style="6" customWidth="1"/>
    <col min="10136" max="10136" width="18.42578125" style="6" customWidth="1"/>
    <col min="10137" max="10137" width="20.140625" style="6" customWidth="1"/>
    <col min="10138" max="10138" width="18.7109375" style="6" customWidth="1"/>
    <col min="10139" max="10139" width="17.7109375" style="6" customWidth="1"/>
    <col min="10140" max="10141" width="18.85546875" style="6" customWidth="1"/>
    <col min="10142" max="10142" width="18.28515625" style="6" customWidth="1"/>
    <col min="10143" max="10143" width="20.140625" style="6" customWidth="1"/>
    <col min="10144" max="10144" width="17.140625" style="6" customWidth="1"/>
    <col min="10145" max="10145" width="17.42578125" style="6" customWidth="1"/>
    <col min="10146" max="10146" width="16.28515625" style="6" customWidth="1"/>
    <col min="10147" max="10147" width="19.28515625" style="6" customWidth="1"/>
    <col min="10148" max="10148" width="18" style="6" customWidth="1"/>
    <col min="10149" max="10149" width="18.28515625" style="6" customWidth="1"/>
    <col min="10150" max="10150" width="17.140625" style="6" customWidth="1"/>
    <col min="10151" max="10151" width="16.7109375" style="6" customWidth="1"/>
    <col min="10152" max="10152" width="17.7109375" style="6" customWidth="1"/>
    <col min="10153" max="10153" width="19.28515625" style="6" customWidth="1"/>
    <col min="10154" max="10154" width="17.28515625" style="6" customWidth="1"/>
    <col min="10155" max="10155" width="17.7109375" style="6" customWidth="1"/>
    <col min="10156" max="10156" width="19.7109375" style="6" customWidth="1"/>
    <col min="10157" max="10157" width="17.28515625" style="6" customWidth="1"/>
    <col min="10158" max="10158" width="18.28515625" style="6" customWidth="1"/>
    <col min="10159" max="10159" width="20.85546875" style="6" customWidth="1"/>
    <col min="10160" max="10160" width="17.28515625" style="6" customWidth="1"/>
    <col min="10161" max="10161" width="17.5703125" style="6" customWidth="1"/>
    <col min="10162" max="10162" width="18.42578125" style="6" customWidth="1"/>
    <col min="10163" max="10163" width="18.85546875" style="6" customWidth="1"/>
    <col min="10164" max="10164" width="19.7109375" style="6" customWidth="1"/>
    <col min="10165" max="10165" width="18" style="6" customWidth="1"/>
    <col min="10166" max="10166" width="19.140625" style="6" customWidth="1"/>
    <col min="10167" max="10167" width="19" style="6" customWidth="1"/>
    <col min="10168" max="10168" width="19.28515625" style="6" customWidth="1"/>
    <col min="10169" max="10170" width="19" style="6" customWidth="1"/>
    <col min="10171" max="10171" width="18.28515625" style="6" customWidth="1"/>
    <col min="10172" max="10172" width="19.5703125" style="6" customWidth="1"/>
    <col min="10173" max="10173" width="20.28515625" style="6" customWidth="1"/>
    <col min="10174" max="10174" width="8.7109375" style="6" customWidth="1"/>
    <col min="10175" max="10175" width="20.42578125" style="6" customWidth="1"/>
    <col min="10176" max="10176" width="18.28515625" style="6" customWidth="1"/>
    <col min="10177" max="10177" width="17.85546875" style="6" customWidth="1"/>
    <col min="10178" max="10178" width="19.28515625" style="6" customWidth="1"/>
    <col min="10179" max="10179" width="18.140625" style="6" customWidth="1"/>
    <col min="10180" max="10180" width="17.85546875" style="6" customWidth="1"/>
    <col min="10181" max="10181" width="18" style="6" customWidth="1"/>
    <col min="10182" max="10182" width="18.28515625" style="6" customWidth="1"/>
    <col min="10183" max="10183" width="19.42578125" style="6" customWidth="1"/>
    <col min="10184" max="10184" width="17.85546875" style="6" customWidth="1"/>
    <col min="10185" max="10185" width="18.85546875" style="6" customWidth="1"/>
    <col min="10186" max="10186" width="17.85546875" style="6" customWidth="1"/>
    <col min="10187" max="10187" width="18.5703125" style="6" customWidth="1"/>
    <col min="10188" max="10188" width="19.140625" style="6" customWidth="1"/>
    <col min="10189" max="10189" width="19.42578125" style="6" customWidth="1"/>
    <col min="10190" max="10190" width="17.7109375" style="6" customWidth="1"/>
    <col min="10191" max="10191" width="19.42578125" style="6" customWidth="1"/>
    <col min="10192" max="10192" width="19.28515625" style="6" customWidth="1"/>
    <col min="10193" max="10193" width="19.85546875" style="6" customWidth="1"/>
    <col min="10194" max="10194" width="12" style="6" customWidth="1"/>
    <col min="10195" max="10195" width="18.5703125" style="6" customWidth="1"/>
    <col min="10196" max="10196" width="17.85546875" style="6" customWidth="1"/>
    <col min="10197" max="10197" width="18.85546875" style="6" customWidth="1"/>
    <col min="10198" max="10198" width="19.140625" style="6" customWidth="1"/>
    <col min="10199" max="10199" width="18.85546875" style="6" customWidth="1"/>
    <col min="10200" max="10201" width="17.7109375" style="6" customWidth="1"/>
    <col min="10202" max="10202" width="19.42578125" style="6" customWidth="1"/>
    <col min="10203" max="10203" width="18.5703125" style="6" customWidth="1"/>
    <col min="10204" max="10204" width="17.140625" style="6" customWidth="1"/>
    <col min="10205" max="10205" width="17" style="6" customWidth="1"/>
    <col min="10206" max="10206" width="16.28515625" style="6" customWidth="1"/>
    <col min="10207" max="10207" width="17.85546875" style="6" customWidth="1"/>
    <col min="10208" max="10208" width="18.5703125" style="6" customWidth="1"/>
    <col min="10209" max="10209" width="17.42578125" style="6" customWidth="1"/>
    <col min="10210" max="10210" width="16.5703125" style="6" customWidth="1"/>
    <col min="10211" max="10211" width="17.28515625" style="6" customWidth="1"/>
    <col min="10212" max="10212" width="19" style="6" customWidth="1"/>
    <col min="10213" max="10213" width="18.5703125" style="6" customWidth="1"/>
    <col min="10214" max="10214" width="9.28515625" style="6" customWidth="1"/>
    <col min="10215" max="10215" width="18.7109375" style="6" customWidth="1"/>
    <col min="10216" max="10222" width="18.5703125" style="6" customWidth="1"/>
    <col min="10223" max="10223" width="20.140625" style="6" customWidth="1"/>
    <col min="10224" max="10224" width="18.5703125" style="6" customWidth="1"/>
    <col min="10225" max="10226" width="0" style="6" hidden="1" customWidth="1"/>
    <col min="10227" max="10227" width="18.5703125" style="6" customWidth="1"/>
    <col min="10228" max="10231" width="0" style="6" hidden="1" customWidth="1"/>
    <col min="10232" max="10232" width="15.5703125" style="6" customWidth="1"/>
    <col min="10233" max="10233" width="19" style="6" customWidth="1"/>
    <col min="10234" max="10234" width="18.5703125" style="6" customWidth="1"/>
    <col min="10235" max="10353" width="11.42578125" style="6"/>
    <col min="10354" max="10354" width="44" style="6" customWidth="1"/>
    <col min="10355" max="10357" width="0" style="6" hidden="1" customWidth="1"/>
    <col min="10358" max="10358" width="12.7109375" style="6" customWidth="1"/>
    <col min="10359" max="10359" width="10.28515625" style="6" bestFit="1" customWidth="1"/>
    <col min="10360" max="10360" width="10.28515625" style="6" customWidth="1"/>
    <col min="10361" max="10361" width="9.7109375" style="6" customWidth="1"/>
    <col min="10362" max="10362" width="12.7109375" style="6" customWidth="1"/>
    <col min="10363" max="10363" width="12" style="6" customWidth="1"/>
    <col min="10364" max="10364" width="11.5703125" style="6" customWidth="1"/>
    <col min="10365" max="10365" width="10" style="6" customWidth="1"/>
    <col min="10366" max="10366" width="9" style="6" customWidth="1"/>
    <col min="10367" max="10367" width="8.7109375" style="6" customWidth="1"/>
    <col min="10368" max="10368" width="9.5703125" style="6" customWidth="1"/>
    <col min="10369" max="10369" width="17.140625" style="6" customWidth="1"/>
    <col min="10370" max="10370" width="8.85546875" style="6" customWidth="1"/>
    <col min="10371" max="10389" width="18.7109375" style="6" customWidth="1"/>
    <col min="10390" max="10390" width="17.5703125" style="6" customWidth="1"/>
    <col min="10391" max="10391" width="21.5703125" style="6" customWidth="1"/>
    <col min="10392" max="10392" width="18.42578125" style="6" customWidth="1"/>
    <col min="10393" max="10393" width="20.140625" style="6" customWidth="1"/>
    <col min="10394" max="10394" width="18.7109375" style="6" customWidth="1"/>
    <col min="10395" max="10395" width="17.7109375" style="6" customWidth="1"/>
    <col min="10396" max="10397" width="18.85546875" style="6" customWidth="1"/>
    <col min="10398" max="10398" width="18.28515625" style="6" customWidth="1"/>
    <col min="10399" max="10399" width="20.140625" style="6" customWidth="1"/>
    <col min="10400" max="10400" width="17.140625" style="6" customWidth="1"/>
    <col min="10401" max="10401" width="17.42578125" style="6" customWidth="1"/>
    <col min="10402" max="10402" width="16.28515625" style="6" customWidth="1"/>
    <col min="10403" max="10403" width="19.28515625" style="6" customWidth="1"/>
    <col min="10404" max="10404" width="18" style="6" customWidth="1"/>
    <col min="10405" max="10405" width="18.28515625" style="6" customWidth="1"/>
    <col min="10406" max="10406" width="17.140625" style="6" customWidth="1"/>
    <col min="10407" max="10407" width="16.7109375" style="6" customWidth="1"/>
    <col min="10408" max="10408" width="17.7109375" style="6" customWidth="1"/>
    <col min="10409" max="10409" width="19.28515625" style="6" customWidth="1"/>
    <col min="10410" max="10410" width="17.28515625" style="6" customWidth="1"/>
    <col min="10411" max="10411" width="17.7109375" style="6" customWidth="1"/>
    <col min="10412" max="10412" width="19.7109375" style="6" customWidth="1"/>
    <col min="10413" max="10413" width="17.28515625" style="6" customWidth="1"/>
    <col min="10414" max="10414" width="18.28515625" style="6" customWidth="1"/>
    <col min="10415" max="10415" width="20.85546875" style="6" customWidth="1"/>
    <col min="10416" max="10416" width="17.28515625" style="6" customWidth="1"/>
    <col min="10417" max="10417" width="17.5703125" style="6" customWidth="1"/>
    <col min="10418" max="10418" width="18.42578125" style="6" customWidth="1"/>
    <col min="10419" max="10419" width="18.85546875" style="6" customWidth="1"/>
    <col min="10420" max="10420" width="19.7109375" style="6" customWidth="1"/>
    <col min="10421" max="10421" width="18" style="6" customWidth="1"/>
    <col min="10422" max="10422" width="19.140625" style="6" customWidth="1"/>
    <col min="10423" max="10423" width="19" style="6" customWidth="1"/>
    <col min="10424" max="10424" width="19.28515625" style="6" customWidth="1"/>
    <col min="10425" max="10426" width="19" style="6" customWidth="1"/>
    <col min="10427" max="10427" width="18.28515625" style="6" customWidth="1"/>
    <col min="10428" max="10428" width="19.5703125" style="6" customWidth="1"/>
    <col min="10429" max="10429" width="20.28515625" style="6" customWidth="1"/>
    <col min="10430" max="10430" width="8.7109375" style="6" customWidth="1"/>
    <col min="10431" max="10431" width="20.42578125" style="6" customWidth="1"/>
    <col min="10432" max="10432" width="18.28515625" style="6" customWidth="1"/>
    <col min="10433" max="10433" width="17.85546875" style="6" customWidth="1"/>
    <col min="10434" max="10434" width="19.28515625" style="6" customWidth="1"/>
    <col min="10435" max="10435" width="18.140625" style="6" customWidth="1"/>
    <col min="10436" max="10436" width="17.85546875" style="6" customWidth="1"/>
    <col min="10437" max="10437" width="18" style="6" customWidth="1"/>
    <col min="10438" max="10438" width="18.28515625" style="6" customWidth="1"/>
    <col min="10439" max="10439" width="19.42578125" style="6" customWidth="1"/>
    <col min="10440" max="10440" width="17.85546875" style="6" customWidth="1"/>
    <col min="10441" max="10441" width="18.85546875" style="6" customWidth="1"/>
    <col min="10442" max="10442" width="17.85546875" style="6" customWidth="1"/>
    <col min="10443" max="10443" width="18.5703125" style="6" customWidth="1"/>
    <col min="10444" max="10444" width="19.140625" style="6" customWidth="1"/>
    <col min="10445" max="10445" width="19.42578125" style="6" customWidth="1"/>
    <col min="10446" max="10446" width="17.7109375" style="6" customWidth="1"/>
    <col min="10447" max="10447" width="19.42578125" style="6" customWidth="1"/>
    <col min="10448" max="10448" width="19.28515625" style="6" customWidth="1"/>
    <col min="10449" max="10449" width="19.85546875" style="6" customWidth="1"/>
    <col min="10450" max="10450" width="12" style="6" customWidth="1"/>
    <col min="10451" max="10451" width="18.5703125" style="6" customWidth="1"/>
    <col min="10452" max="10452" width="17.85546875" style="6" customWidth="1"/>
    <col min="10453" max="10453" width="18.85546875" style="6" customWidth="1"/>
    <col min="10454" max="10454" width="19.140625" style="6" customWidth="1"/>
    <col min="10455" max="10455" width="18.85546875" style="6" customWidth="1"/>
    <col min="10456" max="10457" width="17.7109375" style="6" customWidth="1"/>
    <col min="10458" max="10458" width="19.42578125" style="6" customWidth="1"/>
    <col min="10459" max="10459" width="18.5703125" style="6" customWidth="1"/>
    <col min="10460" max="10460" width="17.140625" style="6" customWidth="1"/>
    <col min="10461" max="10461" width="17" style="6" customWidth="1"/>
    <col min="10462" max="10462" width="16.28515625" style="6" customWidth="1"/>
    <col min="10463" max="10463" width="17.85546875" style="6" customWidth="1"/>
    <col min="10464" max="10464" width="18.5703125" style="6" customWidth="1"/>
    <col min="10465" max="10465" width="17.42578125" style="6" customWidth="1"/>
    <col min="10466" max="10466" width="16.5703125" style="6" customWidth="1"/>
    <col min="10467" max="10467" width="17.28515625" style="6" customWidth="1"/>
    <col min="10468" max="10468" width="19" style="6" customWidth="1"/>
    <col min="10469" max="10469" width="18.5703125" style="6" customWidth="1"/>
    <col min="10470" max="10470" width="9.28515625" style="6" customWidth="1"/>
    <col min="10471" max="10471" width="18.7109375" style="6" customWidth="1"/>
    <col min="10472" max="10478" width="18.5703125" style="6" customWidth="1"/>
    <col min="10479" max="10479" width="20.140625" style="6" customWidth="1"/>
    <col min="10480" max="10480" width="18.5703125" style="6" customWidth="1"/>
    <col min="10481" max="10482" width="0" style="6" hidden="1" customWidth="1"/>
    <col min="10483" max="10483" width="18.5703125" style="6" customWidth="1"/>
    <col min="10484" max="10487" width="0" style="6" hidden="1" customWidth="1"/>
    <col min="10488" max="10488" width="15.5703125" style="6" customWidth="1"/>
    <col min="10489" max="10489" width="19" style="6" customWidth="1"/>
    <col min="10490" max="10490" width="18.5703125" style="6" customWidth="1"/>
    <col min="10491" max="10609" width="11.42578125" style="6"/>
    <col min="10610" max="10610" width="44" style="6" customWidth="1"/>
    <col min="10611" max="10613" width="0" style="6" hidden="1" customWidth="1"/>
    <col min="10614" max="10614" width="12.7109375" style="6" customWidth="1"/>
    <col min="10615" max="10615" width="10.28515625" style="6" bestFit="1" customWidth="1"/>
    <col min="10616" max="10616" width="10.28515625" style="6" customWidth="1"/>
    <col min="10617" max="10617" width="9.7109375" style="6" customWidth="1"/>
    <col min="10618" max="10618" width="12.7109375" style="6" customWidth="1"/>
    <col min="10619" max="10619" width="12" style="6" customWidth="1"/>
    <col min="10620" max="10620" width="11.5703125" style="6" customWidth="1"/>
    <col min="10621" max="10621" width="10" style="6" customWidth="1"/>
    <col min="10622" max="10622" width="9" style="6" customWidth="1"/>
    <col min="10623" max="10623" width="8.7109375" style="6" customWidth="1"/>
    <col min="10624" max="10624" width="9.5703125" style="6" customWidth="1"/>
    <col min="10625" max="10625" width="17.140625" style="6" customWidth="1"/>
    <col min="10626" max="10626" width="8.85546875" style="6" customWidth="1"/>
    <col min="10627" max="10645" width="18.7109375" style="6" customWidth="1"/>
    <col min="10646" max="10646" width="17.5703125" style="6" customWidth="1"/>
    <col min="10647" max="10647" width="21.5703125" style="6" customWidth="1"/>
    <col min="10648" max="10648" width="18.42578125" style="6" customWidth="1"/>
    <col min="10649" max="10649" width="20.140625" style="6" customWidth="1"/>
    <col min="10650" max="10650" width="18.7109375" style="6" customWidth="1"/>
    <col min="10651" max="10651" width="17.7109375" style="6" customWidth="1"/>
    <col min="10652" max="10653" width="18.85546875" style="6" customWidth="1"/>
    <col min="10654" max="10654" width="18.28515625" style="6" customWidth="1"/>
    <col min="10655" max="10655" width="20.140625" style="6" customWidth="1"/>
    <col min="10656" max="10656" width="17.140625" style="6" customWidth="1"/>
    <col min="10657" max="10657" width="17.42578125" style="6" customWidth="1"/>
    <col min="10658" max="10658" width="16.28515625" style="6" customWidth="1"/>
    <col min="10659" max="10659" width="19.28515625" style="6" customWidth="1"/>
    <col min="10660" max="10660" width="18" style="6" customWidth="1"/>
    <col min="10661" max="10661" width="18.28515625" style="6" customWidth="1"/>
    <col min="10662" max="10662" width="17.140625" style="6" customWidth="1"/>
    <col min="10663" max="10663" width="16.7109375" style="6" customWidth="1"/>
    <col min="10664" max="10664" width="17.7109375" style="6" customWidth="1"/>
    <col min="10665" max="10665" width="19.28515625" style="6" customWidth="1"/>
    <col min="10666" max="10666" width="17.28515625" style="6" customWidth="1"/>
    <col min="10667" max="10667" width="17.7109375" style="6" customWidth="1"/>
    <col min="10668" max="10668" width="19.7109375" style="6" customWidth="1"/>
    <col min="10669" max="10669" width="17.28515625" style="6" customWidth="1"/>
    <col min="10670" max="10670" width="18.28515625" style="6" customWidth="1"/>
    <col min="10671" max="10671" width="20.85546875" style="6" customWidth="1"/>
    <col min="10672" max="10672" width="17.28515625" style="6" customWidth="1"/>
    <col min="10673" max="10673" width="17.5703125" style="6" customWidth="1"/>
    <col min="10674" max="10674" width="18.42578125" style="6" customWidth="1"/>
    <col min="10675" max="10675" width="18.85546875" style="6" customWidth="1"/>
    <col min="10676" max="10676" width="19.7109375" style="6" customWidth="1"/>
    <col min="10677" max="10677" width="18" style="6" customWidth="1"/>
    <col min="10678" max="10678" width="19.140625" style="6" customWidth="1"/>
    <col min="10679" max="10679" width="19" style="6" customWidth="1"/>
    <col min="10680" max="10680" width="19.28515625" style="6" customWidth="1"/>
    <col min="10681" max="10682" width="19" style="6" customWidth="1"/>
    <col min="10683" max="10683" width="18.28515625" style="6" customWidth="1"/>
    <col min="10684" max="10684" width="19.5703125" style="6" customWidth="1"/>
    <col min="10685" max="10685" width="20.28515625" style="6" customWidth="1"/>
    <col min="10686" max="10686" width="8.7109375" style="6" customWidth="1"/>
    <col min="10687" max="10687" width="20.42578125" style="6" customWidth="1"/>
    <col min="10688" max="10688" width="18.28515625" style="6" customWidth="1"/>
    <col min="10689" max="10689" width="17.85546875" style="6" customWidth="1"/>
    <col min="10690" max="10690" width="19.28515625" style="6" customWidth="1"/>
    <col min="10691" max="10691" width="18.140625" style="6" customWidth="1"/>
    <col min="10692" max="10692" width="17.85546875" style="6" customWidth="1"/>
    <col min="10693" max="10693" width="18" style="6" customWidth="1"/>
    <col min="10694" max="10694" width="18.28515625" style="6" customWidth="1"/>
    <col min="10695" max="10695" width="19.42578125" style="6" customWidth="1"/>
    <col min="10696" max="10696" width="17.85546875" style="6" customWidth="1"/>
    <col min="10697" max="10697" width="18.85546875" style="6" customWidth="1"/>
    <col min="10698" max="10698" width="17.85546875" style="6" customWidth="1"/>
    <col min="10699" max="10699" width="18.5703125" style="6" customWidth="1"/>
    <col min="10700" max="10700" width="19.140625" style="6" customWidth="1"/>
    <col min="10701" max="10701" width="19.42578125" style="6" customWidth="1"/>
    <col min="10702" max="10702" width="17.7109375" style="6" customWidth="1"/>
    <col min="10703" max="10703" width="19.42578125" style="6" customWidth="1"/>
    <col min="10704" max="10704" width="19.28515625" style="6" customWidth="1"/>
    <col min="10705" max="10705" width="19.85546875" style="6" customWidth="1"/>
    <col min="10706" max="10706" width="12" style="6" customWidth="1"/>
    <col min="10707" max="10707" width="18.5703125" style="6" customWidth="1"/>
    <col min="10708" max="10708" width="17.85546875" style="6" customWidth="1"/>
    <col min="10709" max="10709" width="18.85546875" style="6" customWidth="1"/>
    <col min="10710" max="10710" width="19.140625" style="6" customWidth="1"/>
    <col min="10711" max="10711" width="18.85546875" style="6" customWidth="1"/>
    <col min="10712" max="10713" width="17.7109375" style="6" customWidth="1"/>
    <col min="10714" max="10714" width="19.42578125" style="6" customWidth="1"/>
    <col min="10715" max="10715" width="18.5703125" style="6" customWidth="1"/>
    <col min="10716" max="10716" width="17.140625" style="6" customWidth="1"/>
    <col min="10717" max="10717" width="17" style="6" customWidth="1"/>
    <col min="10718" max="10718" width="16.28515625" style="6" customWidth="1"/>
    <col min="10719" max="10719" width="17.85546875" style="6" customWidth="1"/>
    <col min="10720" max="10720" width="18.5703125" style="6" customWidth="1"/>
    <col min="10721" max="10721" width="17.42578125" style="6" customWidth="1"/>
    <col min="10722" max="10722" width="16.5703125" style="6" customWidth="1"/>
    <col min="10723" max="10723" width="17.28515625" style="6" customWidth="1"/>
    <col min="10724" max="10724" width="19" style="6" customWidth="1"/>
    <col min="10725" max="10725" width="18.5703125" style="6" customWidth="1"/>
    <col min="10726" max="10726" width="9.28515625" style="6" customWidth="1"/>
    <col min="10727" max="10727" width="18.7109375" style="6" customWidth="1"/>
    <col min="10728" max="10734" width="18.5703125" style="6" customWidth="1"/>
    <col min="10735" max="10735" width="20.140625" style="6" customWidth="1"/>
    <col min="10736" max="10736" width="18.5703125" style="6" customWidth="1"/>
    <col min="10737" max="10738" width="0" style="6" hidden="1" customWidth="1"/>
    <col min="10739" max="10739" width="18.5703125" style="6" customWidth="1"/>
    <col min="10740" max="10743" width="0" style="6" hidden="1" customWidth="1"/>
    <col min="10744" max="10744" width="15.5703125" style="6" customWidth="1"/>
    <col min="10745" max="10745" width="19" style="6" customWidth="1"/>
    <col min="10746" max="10746" width="18.5703125" style="6" customWidth="1"/>
    <col min="10747" max="10865" width="11.42578125" style="6"/>
    <col min="10866" max="10866" width="44" style="6" customWidth="1"/>
    <col min="10867" max="10869" width="0" style="6" hidden="1" customWidth="1"/>
    <col min="10870" max="10870" width="12.7109375" style="6" customWidth="1"/>
    <col min="10871" max="10871" width="10.28515625" style="6" bestFit="1" customWidth="1"/>
    <col min="10872" max="10872" width="10.28515625" style="6" customWidth="1"/>
    <col min="10873" max="10873" width="9.7109375" style="6" customWidth="1"/>
    <col min="10874" max="10874" width="12.7109375" style="6" customWidth="1"/>
    <col min="10875" max="10875" width="12" style="6" customWidth="1"/>
    <col min="10876" max="10876" width="11.5703125" style="6" customWidth="1"/>
    <col min="10877" max="10877" width="10" style="6" customWidth="1"/>
    <col min="10878" max="10878" width="9" style="6" customWidth="1"/>
    <col min="10879" max="10879" width="8.7109375" style="6" customWidth="1"/>
    <col min="10880" max="10880" width="9.5703125" style="6" customWidth="1"/>
    <col min="10881" max="10881" width="17.140625" style="6" customWidth="1"/>
    <col min="10882" max="10882" width="8.85546875" style="6" customWidth="1"/>
    <col min="10883" max="10901" width="18.7109375" style="6" customWidth="1"/>
    <col min="10902" max="10902" width="17.5703125" style="6" customWidth="1"/>
    <col min="10903" max="10903" width="21.5703125" style="6" customWidth="1"/>
    <col min="10904" max="10904" width="18.42578125" style="6" customWidth="1"/>
    <col min="10905" max="10905" width="20.140625" style="6" customWidth="1"/>
    <col min="10906" max="10906" width="18.7109375" style="6" customWidth="1"/>
    <col min="10907" max="10907" width="17.7109375" style="6" customWidth="1"/>
    <col min="10908" max="10909" width="18.85546875" style="6" customWidth="1"/>
    <col min="10910" max="10910" width="18.28515625" style="6" customWidth="1"/>
    <col min="10911" max="10911" width="20.140625" style="6" customWidth="1"/>
    <col min="10912" max="10912" width="17.140625" style="6" customWidth="1"/>
    <col min="10913" max="10913" width="17.42578125" style="6" customWidth="1"/>
    <col min="10914" max="10914" width="16.28515625" style="6" customWidth="1"/>
    <col min="10915" max="10915" width="19.28515625" style="6" customWidth="1"/>
    <col min="10916" max="10916" width="18" style="6" customWidth="1"/>
    <col min="10917" max="10917" width="18.28515625" style="6" customWidth="1"/>
    <col min="10918" max="10918" width="17.140625" style="6" customWidth="1"/>
    <col min="10919" max="10919" width="16.7109375" style="6" customWidth="1"/>
    <col min="10920" max="10920" width="17.7109375" style="6" customWidth="1"/>
    <col min="10921" max="10921" width="19.28515625" style="6" customWidth="1"/>
    <col min="10922" max="10922" width="17.28515625" style="6" customWidth="1"/>
    <col min="10923" max="10923" width="17.7109375" style="6" customWidth="1"/>
    <col min="10924" max="10924" width="19.7109375" style="6" customWidth="1"/>
    <col min="10925" max="10925" width="17.28515625" style="6" customWidth="1"/>
    <col min="10926" max="10926" width="18.28515625" style="6" customWidth="1"/>
    <col min="10927" max="10927" width="20.85546875" style="6" customWidth="1"/>
    <col min="10928" max="10928" width="17.28515625" style="6" customWidth="1"/>
    <col min="10929" max="10929" width="17.5703125" style="6" customWidth="1"/>
    <col min="10930" max="10930" width="18.42578125" style="6" customWidth="1"/>
    <col min="10931" max="10931" width="18.85546875" style="6" customWidth="1"/>
    <col min="10932" max="10932" width="19.7109375" style="6" customWidth="1"/>
    <col min="10933" max="10933" width="18" style="6" customWidth="1"/>
    <col min="10934" max="10934" width="19.140625" style="6" customWidth="1"/>
    <col min="10935" max="10935" width="19" style="6" customWidth="1"/>
    <col min="10936" max="10936" width="19.28515625" style="6" customWidth="1"/>
    <col min="10937" max="10938" width="19" style="6" customWidth="1"/>
    <col min="10939" max="10939" width="18.28515625" style="6" customWidth="1"/>
    <col min="10940" max="10940" width="19.5703125" style="6" customWidth="1"/>
    <col min="10941" max="10941" width="20.28515625" style="6" customWidth="1"/>
    <col min="10942" max="10942" width="8.7109375" style="6" customWidth="1"/>
    <col min="10943" max="10943" width="20.42578125" style="6" customWidth="1"/>
    <col min="10944" max="10944" width="18.28515625" style="6" customWidth="1"/>
    <col min="10945" max="10945" width="17.85546875" style="6" customWidth="1"/>
    <col min="10946" max="10946" width="19.28515625" style="6" customWidth="1"/>
    <col min="10947" max="10947" width="18.140625" style="6" customWidth="1"/>
    <col min="10948" max="10948" width="17.85546875" style="6" customWidth="1"/>
    <col min="10949" max="10949" width="18" style="6" customWidth="1"/>
    <col min="10950" max="10950" width="18.28515625" style="6" customWidth="1"/>
    <col min="10951" max="10951" width="19.42578125" style="6" customWidth="1"/>
    <col min="10952" max="10952" width="17.85546875" style="6" customWidth="1"/>
    <col min="10953" max="10953" width="18.85546875" style="6" customWidth="1"/>
    <col min="10954" max="10954" width="17.85546875" style="6" customWidth="1"/>
    <col min="10955" max="10955" width="18.5703125" style="6" customWidth="1"/>
    <col min="10956" max="10956" width="19.140625" style="6" customWidth="1"/>
    <col min="10957" max="10957" width="19.42578125" style="6" customWidth="1"/>
    <col min="10958" max="10958" width="17.7109375" style="6" customWidth="1"/>
    <col min="10959" max="10959" width="19.42578125" style="6" customWidth="1"/>
    <col min="10960" max="10960" width="19.28515625" style="6" customWidth="1"/>
    <col min="10961" max="10961" width="19.85546875" style="6" customWidth="1"/>
    <col min="10962" max="10962" width="12" style="6" customWidth="1"/>
    <col min="10963" max="10963" width="18.5703125" style="6" customWidth="1"/>
    <col min="10964" max="10964" width="17.85546875" style="6" customWidth="1"/>
    <col min="10965" max="10965" width="18.85546875" style="6" customWidth="1"/>
    <col min="10966" max="10966" width="19.140625" style="6" customWidth="1"/>
    <col min="10967" max="10967" width="18.85546875" style="6" customWidth="1"/>
    <col min="10968" max="10969" width="17.7109375" style="6" customWidth="1"/>
    <col min="10970" max="10970" width="19.42578125" style="6" customWidth="1"/>
    <col min="10971" max="10971" width="18.5703125" style="6" customWidth="1"/>
    <col min="10972" max="10972" width="17.140625" style="6" customWidth="1"/>
    <col min="10973" max="10973" width="17" style="6" customWidth="1"/>
    <col min="10974" max="10974" width="16.28515625" style="6" customWidth="1"/>
    <col min="10975" max="10975" width="17.85546875" style="6" customWidth="1"/>
    <col min="10976" max="10976" width="18.5703125" style="6" customWidth="1"/>
    <col min="10977" max="10977" width="17.42578125" style="6" customWidth="1"/>
    <col min="10978" max="10978" width="16.5703125" style="6" customWidth="1"/>
    <col min="10979" max="10979" width="17.28515625" style="6" customWidth="1"/>
    <col min="10980" max="10980" width="19" style="6" customWidth="1"/>
    <col min="10981" max="10981" width="18.5703125" style="6" customWidth="1"/>
    <col min="10982" max="10982" width="9.28515625" style="6" customWidth="1"/>
    <col min="10983" max="10983" width="18.7109375" style="6" customWidth="1"/>
    <col min="10984" max="10990" width="18.5703125" style="6" customWidth="1"/>
    <col min="10991" max="10991" width="20.140625" style="6" customWidth="1"/>
    <col min="10992" max="10992" width="18.5703125" style="6" customWidth="1"/>
    <col min="10993" max="10994" width="0" style="6" hidden="1" customWidth="1"/>
    <col min="10995" max="10995" width="18.5703125" style="6" customWidth="1"/>
    <col min="10996" max="10999" width="0" style="6" hidden="1" customWidth="1"/>
    <col min="11000" max="11000" width="15.5703125" style="6" customWidth="1"/>
    <col min="11001" max="11001" width="19" style="6" customWidth="1"/>
    <col min="11002" max="11002" width="18.5703125" style="6" customWidth="1"/>
    <col min="11003" max="11121" width="11.42578125" style="6"/>
    <col min="11122" max="11122" width="44" style="6" customWidth="1"/>
    <col min="11123" max="11125" width="0" style="6" hidden="1" customWidth="1"/>
    <col min="11126" max="11126" width="12.7109375" style="6" customWidth="1"/>
    <col min="11127" max="11127" width="10.28515625" style="6" bestFit="1" customWidth="1"/>
    <col min="11128" max="11128" width="10.28515625" style="6" customWidth="1"/>
    <col min="11129" max="11129" width="9.7109375" style="6" customWidth="1"/>
    <col min="11130" max="11130" width="12.7109375" style="6" customWidth="1"/>
    <col min="11131" max="11131" width="12" style="6" customWidth="1"/>
    <col min="11132" max="11132" width="11.5703125" style="6" customWidth="1"/>
    <col min="11133" max="11133" width="10" style="6" customWidth="1"/>
    <col min="11134" max="11134" width="9" style="6" customWidth="1"/>
    <col min="11135" max="11135" width="8.7109375" style="6" customWidth="1"/>
    <col min="11136" max="11136" width="9.5703125" style="6" customWidth="1"/>
    <col min="11137" max="11137" width="17.140625" style="6" customWidth="1"/>
    <col min="11138" max="11138" width="8.85546875" style="6" customWidth="1"/>
    <col min="11139" max="11157" width="18.7109375" style="6" customWidth="1"/>
    <col min="11158" max="11158" width="17.5703125" style="6" customWidth="1"/>
    <col min="11159" max="11159" width="21.5703125" style="6" customWidth="1"/>
    <col min="11160" max="11160" width="18.42578125" style="6" customWidth="1"/>
    <col min="11161" max="11161" width="20.140625" style="6" customWidth="1"/>
    <col min="11162" max="11162" width="18.7109375" style="6" customWidth="1"/>
    <col min="11163" max="11163" width="17.7109375" style="6" customWidth="1"/>
    <col min="11164" max="11165" width="18.85546875" style="6" customWidth="1"/>
    <col min="11166" max="11166" width="18.28515625" style="6" customWidth="1"/>
    <col min="11167" max="11167" width="20.140625" style="6" customWidth="1"/>
    <col min="11168" max="11168" width="17.140625" style="6" customWidth="1"/>
    <col min="11169" max="11169" width="17.42578125" style="6" customWidth="1"/>
    <col min="11170" max="11170" width="16.28515625" style="6" customWidth="1"/>
    <col min="11171" max="11171" width="19.28515625" style="6" customWidth="1"/>
    <col min="11172" max="11172" width="18" style="6" customWidth="1"/>
    <col min="11173" max="11173" width="18.28515625" style="6" customWidth="1"/>
    <col min="11174" max="11174" width="17.140625" style="6" customWidth="1"/>
    <col min="11175" max="11175" width="16.7109375" style="6" customWidth="1"/>
    <col min="11176" max="11176" width="17.7109375" style="6" customWidth="1"/>
    <col min="11177" max="11177" width="19.28515625" style="6" customWidth="1"/>
    <col min="11178" max="11178" width="17.28515625" style="6" customWidth="1"/>
    <col min="11179" max="11179" width="17.7109375" style="6" customWidth="1"/>
    <col min="11180" max="11180" width="19.7109375" style="6" customWidth="1"/>
    <col min="11181" max="11181" width="17.28515625" style="6" customWidth="1"/>
    <col min="11182" max="11182" width="18.28515625" style="6" customWidth="1"/>
    <col min="11183" max="11183" width="20.85546875" style="6" customWidth="1"/>
    <col min="11184" max="11184" width="17.28515625" style="6" customWidth="1"/>
    <col min="11185" max="11185" width="17.5703125" style="6" customWidth="1"/>
    <col min="11186" max="11186" width="18.42578125" style="6" customWidth="1"/>
    <col min="11187" max="11187" width="18.85546875" style="6" customWidth="1"/>
    <col min="11188" max="11188" width="19.7109375" style="6" customWidth="1"/>
    <col min="11189" max="11189" width="18" style="6" customWidth="1"/>
    <col min="11190" max="11190" width="19.140625" style="6" customWidth="1"/>
    <col min="11191" max="11191" width="19" style="6" customWidth="1"/>
    <col min="11192" max="11192" width="19.28515625" style="6" customWidth="1"/>
    <col min="11193" max="11194" width="19" style="6" customWidth="1"/>
    <col min="11195" max="11195" width="18.28515625" style="6" customWidth="1"/>
    <col min="11196" max="11196" width="19.5703125" style="6" customWidth="1"/>
    <col min="11197" max="11197" width="20.28515625" style="6" customWidth="1"/>
    <col min="11198" max="11198" width="8.7109375" style="6" customWidth="1"/>
    <col min="11199" max="11199" width="20.42578125" style="6" customWidth="1"/>
    <col min="11200" max="11200" width="18.28515625" style="6" customWidth="1"/>
    <col min="11201" max="11201" width="17.85546875" style="6" customWidth="1"/>
    <col min="11202" max="11202" width="19.28515625" style="6" customWidth="1"/>
    <col min="11203" max="11203" width="18.140625" style="6" customWidth="1"/>
    <col min="11204" max="11204" width="17.85546875" style="6" customWidth="1"/>
    <col min="11205" max="11205" width="18" style="6" customWidth="1"/>
    <col min="11206" max="11206" width="18.28515625" style="6" customWidth="1"/>
    <col min="11207" max="11207" width="19.42578125" style="6" customWidth="1"/>
    <col min="11208" max="11208" width="17.85546875" style="6" customWidth="1"/>
    <col min="11209" max="11209" width="18.85546875" style="6" customWidth="1"/>
    <col min="11210" max="11210" width="17.85546875" style="6" customWidth="1"/>
    <col min="11211" max="11211" width="18.5703125" style="6" customWidth="1"/>
    <col min="11212" max="11212" width="19.140625" style="6" customWidth="1"/>
    <col min="11213" max="11213" width="19.42578125" style="6" customWidth="1"/>
    <col min="11214" max="11214" width="17.7109375" style="6" customWidth="1"/>
    <col min="11215" max="11215" width="19.42578125" style="6" customWidth="1"/>
    <col min="11216" max="11216" width="19.28515625" style="6" customWidth="1"/>
    <col min="11217" max="11217" width="19.85546875" style="6" customWidth="1"/>
    <col min="11218" max="11218" width="12" style="6" customWidth="1"/>
    <col min="11219" max="11219" width="18.5703125" style="6" customWidth="1"/>
    <col min="11220" max="11220" width="17.85546875" style="6" customWidth="1"/>
    <col min="11221" max="11221" width="18.85546875" style="6" customWidth="1"/>
    <col min="11222" max="11222" width="19.140625" style="6" customWidth="1"/>
    <col min="11223" max="11223" width="18.85546875" style="6" customWidth="1"/>
    <col min="11224" max="11225" width="17.7109375" style="6" customWidth="1"/>
    <col min="11226" max="11226" width="19.42578125" style="6" customWidth="1"/>
    <col min="11227" max="11227" width="18.5703125" style="6" customWidth="1"/>
    <col min="11228" max="11228" width="17.140625" style="6" customWidth="1"/>
    <col min="11229" max="11229" width="17" style="6" customWidth="1"/>
    <col min="11230" max="11230" width="16.28515625" style="6" customWidth="1"/>
    <col min="11231" max="11231" width="17.85546875" style="6" customWidth="1"/>
    <col min="11232" max="11232" width="18.5703125" style="6" customWidth="1"/>
    <col min="11233" max="11233" width="17.42578125" style="6" customWidth="1"/>
    <col min="11234" max="11234" width="16.5703125" style="6" customWidth="1"/>
    <col min="11235" max="11235" width="17.28515625" style="6" customWidth="1"/>
    <col min="11236" max="11236" width="19" style="6" customWidth="1"/>
    <col min="11237" max="11237" width="18.5703125" style="6" customWidth="1"/>
    <col min="11238" max="11238" width="9.28515625" style="6" customWidth="1"/>
    <col min="11239" max="11239" width="18.7109375" style="6" customWidth="1"/>
    <col min="11240" max="11246" width="18.5703125" style="6" customWidth="1"/>
    <col min="11247" max="11247" width="20.140625" style="6" customWidth="1"/>
    <col min="11248" max="11248" width="18.5703125" style="6" customWidth="1"/>
    <col min="11249" max="11250" width="0" style="6" hidden="1" customWidth="1"/>
    <col min="11251" max="11251" width="18.5703125" style="6" customWidth="1"/>
    <col min="11252" max="11255" width="0" style="6" hidden="1" customWidth="1"/>
    <col min="11256" max="11256" width="15.5703125" style="6" customWidth="1"/>
    <col min="11257" max="11257" width="19" style="6" customWidth="1"/>
    <col min="11258" max="11258" width="18.5703125" style="6" customWidth="1"/>
    <col min="11259" max="11377" width="11.42578125" style="6"/>
    <col min="11378" max="11378" width="44" style="6" customWidth="1"/>
    <col min="11379" max="11381" width="0" style="6" hidden="1" customWidth="1"/>
    <col min="11382" max="11382" width="12.7109375" style="6" customWidth="1"/>
    <col min="11383" max="11383" width="10.28515625" style="6" bestFit="1" customWidth="1"/>
    <col min="11384" max="11384" width="10.28515625" style="6" customWidth="1"/>
    <col min="11385" max="11385" width="9.7109375" style="6" customWidth="1"/>
    <col min="11386" max="11386" width="12.7109375" style="6" customWidth="1"/>
    <col min="11387" max="11387" width="12" style="6" customWidth="1"/>
    <col min="11388" max="11388" width="11.5703125" style="6" customWidth="1"/>
    <col min="11389" max="11389" width="10" style="6" customWidth="1"/>
    <col min="11390" max="11390" width="9" style="6" customWidth="1"/>
    <col min="11391" max="11391" width="8.7109375" style="6" customWidth="1"/>
    <col min="11392" max="11392" width="9.5703125" style="6" customWidth="1"/>
    <col min="11393" max="11393" width="17.140625" style="6" customWidth="1"/>
    <col min="11394" max="11394" width="8.85546875" style="6" customWidth="1"/>
    <col min="11395" max="11413" width="18.7109375" style="6" customWidth="1"/>
    <col min="11414" max="11414" width="17.5703125" style="6" customWidth="1"/>
    <col min="11415" max="11415" width="21.5703125" style="6" customWidth="1"/>
    <col min="11416" max="11416" width="18.42578125" style="6" customWidth="1"/>
    <col min="11417" max="11417" width="20.140625" style="6" customWidth="1"/>
    <col min="11418" max="11418" width="18.7109375" style="6" customWidth="1"/>
    <col min="11419" max="11419" width="17.7109375" style="6" customWidth="1"/>
    <col min="11420" max="11421" width="18.85546875" style="6" customWidth="1"/>
    <col min="11422" max="11422" width="18.28515625" style="6" customWidth="1"/>
    <col min="11423" max="11423" width="20.140625" style="6" customWidth="1"/>
    <col min="11424" max="11424" width="17.140625" style="6" customWidth="1"/>
    <col min="11425" max="11425" width="17.42578125" style="6" customWidth="1"/>
    <col min="11426" max="11426" width="16.28515625" style="6" customWidth="1"/>
    <col min="11427" max="11427" width="19.28515625" style="6" customWidth="1"/>
    <col min="11428" max="11428" width="18" style="6" customWidth="1"/>
    <col min="11429" max="11429" width="18.28515625" style="6" customWidth="1"/>
    <col min="11430" max="11430" width="17.140625" style="6" customWidth="1"/>
    <col min="11431" max="11431" width="16.7109375" style="6" customWidth="1"/>
    <col min="11432" max="11432" width="17.7109375" style="6" customWidth="1"/>
    <col min="11433" max="11433" width="19.28515625" style="6" customWidth="1"/>
    <col min="11434" max="11434" width="17.28515625" style="6" customWidth="1"/>
    <col min="11435" max="11435" width="17.7109375" style="6" customWidth="1"/>
    <col min="11436" max="11436" width="19.7109375" style="6" customWidth="1"/>
    <col min="11437" max="11437" width="17.28515625" style="6" customWidth="1"/>
    <col min="11438" max="11438" width="18.28515625" style="6" customWidth="1"/>
    <col min="11439" max="11439" width="20.85546875" style="6" customWidth="1"/>
    <col min="11440" max="11440" width="17.28515625" style="6" customWidth="1"/>
    <col min="11441" max="11441" width="17.5703125" style="6" customWidth="1"/>
    <col min="11442" max="11442" width="18.42578125" style="6" customWidth="1"/>
    <col min="11443" max="11443" width="18.85546875" style="6" customWidth="1"/>
    <col min="11444" max="11444" width="19.7109375" style="6" customWidth="1"/>
    <col min="11445" max="11445" width="18" style="6" customWidth="1"/>
    <col min="11446" max="11446" width="19.140625" style="6" customWidth="1"/>
    <col min="11447" max="11447" width="19" style="6" customWidth="1"/>
    <col min="11448" max="11448" width="19.28515625" style="6" customWidth="1"/>
    <col min="11449" max="11450" width="19" style="6" customWidth="1"/>
    <col min="11451" max="11451" width="18.28515625" style="6" customWidth="1"/>
    <col min="11452" max="11452" width="19.5703125" style="6" customWidth="1"/>
    <col min="11453" max="11453" width="20.28515625" style="6" customWidth="1"/>
    <col min="11454" max="11454" width="8.7109375" style="6" customWidth="1"/>
    <col min="11455" max="11455" width="20.42578125" style="6" customWidth="1"/>
    <col min="11456" max="11456" width="18.28515625" style="6" customWidth="1"/>
    <col min="11457" max="11457" width="17.85546875" style="6" customWidth="1"/>
    <col min="11458" max="11458" width="19.28515625" style="6" customWidth="1"/>
    <col min="11459" max="11459" width="18.140625" style="6" customWidth="1"/>
    <col min="11460" max="11460" width="17.85546875" style="6" customWidth="1"/>
    <col min="11461" max="11461" width="18" style="6" customWidth="1"/>
    <col min="11462" max="11462" width="18.28515625" style="6" customWidth="1"/>
    <col min="11463" max="11463" width="19.42578125" style="6" customWidth="1"/>
    <col min="11464" max="11464" width="17.85546875" style="6" customWidth="1"/>
    <col min="11465" max="11465" width="18.85546875" style="6" customWidth="1"/>
    <col min="11466" max="11466" width="17.85546875" style="6" customWidth="1"/>
    <col min="11467" max="11467" width="18.5703125" style="6" customWidth="1"/>
    <col min="11468" max="11468" width="19.140625" style="6" customWidth="1"/>
    <col min="11469" max="11469" width="19.42578125" style="6" customWidth="1"/>
    <col min="11470" max="11470" width="17.7109375" style="6" customWidth="1"/>
    <col min="11471" max="11471" width="19.42578125" style="6" customWidth="1"/>
    <col min="11472" max="11472" width="19.28515625" style="6" customWidth="1"/>
    <col min="11473" max="11473" width="19.85546875" style="6" customWidth="1"/>
    <col min="11474" max="11474" width="12" style="6" customWidth="1"/>
    <col min="11475" max="11475" width="18.5703125" style="6" customWidth="1"/>
    <col min="11476" max="11476" width="17.85546875" style="6" customWidth="1"/>
    <col min="11477" max="11477" width="18.85546875" style="6" customWidth="1"/>
    <col min="11478" max="11478" width="19.140625" style="6" customWidth="1"/>
    <col min="11479" max="11479" width="18.85546875" style="6" customWidth="1"/>
    <col min="11480" max="11481" width="17.7109375" style="6" customWidth="1"/>
    <col min="11482" max="11482" width="19.42578125" style="6" customWidth="1"/>
    <col min="11483" max="11483" width="18.5703125" style="6" customWidth="1"/>
    <col min="11484" max="11484" width="17.140625" style="6" customWidth="1"/>
    <col min="11485" max="11485" width="17" style="6" customWidth="1"/>
    <col min="11486" max="11486" width="16.28515625" style="6" customWidth="1"/>
    <col min="11487" max="11487" width="17.85546875" style="6" customWidth="1"/>
    <col min="11488" max="11488" width="18.5703125" style="6" customWidth="1"/>
    <col min="11489" max="11489" width="17.42578125" style="6" customWidth="1"/>
    <col min="11490" max="11490" width="16.5703125" style="6" customWidth="1"/>
    <col min="11491" max="11491" width="17.28515625" style="6" customWidth="1"/>
    <col min="11492" max="11492" width="19" style="6" customWidth="1"/>
    <col min="11493" max="11493" width="18.5703125" style="6" customWidth="1"/>
    <col min="11494" max="11494" width="9.28515625" style="6" customWidth="1"/>
    <col min="11495" max="11495" width="18.7109375" style="6" customWidth="1"/>
    <col min="11496" max="11502" width="18.5703125" style="6" customWidth="1"/>
    <col min="11503" max="11503" width="20.140625" style="6" customWidth="1"/>
    <col min="11504" max="11504" width="18.5703125" style="6" customWidth="1"/>
    <col min="11505" max="11506" width="0" style="6" hidden="1" customWidth="1"/>
    <col min="11507" max="11507" width="18.5703125" style="6" customWidth="1"/>
    <col min="11508" max="11511" width="0" style="6" hidden="1" customWidth="1"/>
    <col min="11512" max="11512" width="15.5703125" style="6" customWidth="1"/>
    <col min="11513" max="11513" width="19" style="6" customWidth="1"/>
    <col min="11514" max="11514" width="18.5703125" style="6" customWidth="1"/>
    <col min="11515" max="11633" width="11.42578125" style="6"/>
    <col min="11634" max="11634" width="44" style="6" customWidth="1"/>
    <col min="11635" max="11637" width="0" style="6" hidden="1" customWidth="1"/>
    <col min="11638" max="11638" width="12.7109375" style="6" customWidth="1"/>
    <col min="11639" max="11639" width="10.28515625" style="6" bestFit="1" customWidth="1"/>
    <col min="11640" max="11640" width="10.28515625" style="6" customWidth="1"/>
    <col min="11641" max="11641" width="9.7109375" style="6" customWidth="1"/>
    <col min="11642" max="11642" width="12.7109375" style="6" customWidth="1"/>
    <col min="11643" max="11643" width="12" style="6" customWidth="1"/>
    <col min="11644" max="11644" width="11.5703125" style="6" customWidth="1"/>
    <col min="11645" max="11645" width="10" style="6" customWidth="1"/>
    <col min="11646" max="11646" width="9" style="6" customWidth="1"/>
    <col min="11647" max="11647" width="8.7109375" style="6" customWidth="1"/>
    <col min="11648" max="11648" width="9.5703125" style="6" customWidth="1"/>
    <col min="11649" max="11649" width="17.140625" style="6" customWidth="1"/>
    <col min="11650" max="11650" width="8.85546875" style="6" customWidth="1"/>
    <col min="11651" max="11669" width="18.7109375" style="6" customWidth="1"/>
    <col min="11670" max="11670" width="17.5703125" style="6" customWidth="1"/>
    <col min="11671" max="11671" width="21.5703125" style="6" customWidth="1"/>
    <col min="11672" max="11672" width="18.42578125" style="6" customWidth="1"/>
    <col min="11673" max="11673" width="20.140625" style="6" customWidth="1"/>
    <col min="11674" max="11674" width="18.7109375" style="6" customWidth="1"/>
    <col min="11675" max="11675" width="17.7109375" style="6" customWidth="1"/>
    <col min="11676" max="11677" width="18.85546875" style="6" customWidth="1"/>
    <col min="11678" max="11678" width="18.28515625" style="6" customWidth="1"/>
    <col min="11679" max="11679" width="20.140625" style="6" customWidth="1"/>
    <col min="11680" max="11680" width="17.140625" style="6" customWidth="1"/>
    <col min="11681" max="11681" width="17.42578125" style="6" customWidth="1"/>
    <col min="11682" max="11682" width="16.28515625" style="6" customWidth="1"/>
    <col min="11683" max="11683" width="19.28515625" style="6" customWidth="1"/>
    <col min="11684" max="11684" width="18" style="6" customWidth="1"/>
    <col min="11685" max="11685" width="18.28515625" style="6" customWidth="1"/>
    <col min="11686" max="11686" width="17.140625" style="6" customWidth="1"/>
    <col min="11687" max="11687" width="16.7109375" style="6" customWidth="1"/>
    <col min="11688" max="11688" width="17.7109375" style="6" customWidth="1"/>
    <col min="11689" max="11689" width="19.28515625" style="6" customWidth="1"/>
    <col min="11690" max="11690" width="17.28515625" style="6" customWidth="1"/>
    <col min="11691" max="11691" width="17.7109375" style="6" customWidth="1"/>
    <col min="11692" max="11692" width="19.7109375" style="6" customWidth="1"/>
    <col min="11693" max="11693" width="17.28515625" style="6" customWidth="1"/>
    <col min="11694" max="11694" width="18.28515625" style="6" customWidth="1"/>
    <col min="11695" max="11695" width="20.85546875" style="6" customWidth="1"/>
    <col min="11696" max="11696" width="17.28515625" style="6" customWidth="1"/>
    <col min="11697" max="11697" width="17.5703125" style="6" customWidth="1"/>
    <col min="11698" max="11698" width="18.42578125" style="6" customWidth="1"/>
    <col min="11699" max="11699" width="18.85546875" style="6" customWidth="1"/>
    <col min="11700" max="11700" width="19.7109375" style="6" customWidth="1"/>
    <col min="11701" max="11701" width="18" style="6" customWidth="1"/>
    <col min="11702" max="11702" width="19.140625" style="6" customWidth="1"/>
    <col min="11703" max="11703" width="19" style="6" customWidth="1"/>
    <col min="11704" max="11704" width="19.28515625" style="6" customWidth="1"/>
    <col min="11705" max="11706" width="19" style="6" customWidth="1"/>
    <col min="11707" max="11707" width="18.28515625" style="6" customWidth="1"/>
    <col min="11708" max="11708" width="19.5703125" style="6" customWidth="1"/>
    <col min="11709" max="11709" width="20.28515625" style="6" customWidth="1"/>
    <col min="11710" max="11710" width="8.7109375" style="6" customWidth="1"/>
    <col min="11711" max="11711" width="20.42578125" style="6" customWidth="1"/>
    <col min="11712" max="11712" width="18.28515625" style="6" customWidth="1"/>
    <col min="11713" max="11713" width="17.85546875" style="6" customWidth="1"/>
    <col min="11714" max="11714" width="19.28515625" style="6" customWidth="1"/>
    <col min="11715" max="11715" width="18.140625" style="6" customWidth="1"/>
    <col min="11716" max="11716" width="17.85546875" style="6" customWidth="1"/>
    <col min="11717" max="11717" width="18" style="6" customWidth="1"/>
    <col min="11718" max="11718" width="18.28515625" style="6" customWidth="1"/>
    <col min="11719" max="11719" width="19.42578125" style="6" customWidth="1"/>
    <col min="11720" max="11720" width="17.85546875" style="6" customWidth="1"/>
    <col min="11721" max="11721" width="18.85546875" style="6" customWidth="1"/>
    <col min="11722" max="11722" width="17.85546875" style="6" customWidth="1"/>
    <col min="11723" max="11723" width="18.5703125" style="6" customWidth="1"/>
    <col min="11724" max="11724" width="19.140625" style="6" customWidth="1"/>
    <col min="11725" max="11725" width="19.42578125" style="6" customWidth="1"/>
    <col min="11726" max="11726" width="17.7109375" style="6" customWidth="1"/>
    <col min="11727" max="11727" width="19.42578125" style="6" customWidth="1"/>
    <col min="11728" max="11728" width="19.28515625" style="6" customWidth="1"/>
    <col min="11729" max="11729" width="19.85546875" style="6" customWidth="1"/>
    <col min="11730" max="11730" width="12" style="6" customWidth="1"/>
    <col min="11731" max="11731" width="18.5703125" style="6" customWidth="1"/>
    <col min="11732" max="11732" width="17.85546875" style="6" customWidth="1"/>
    <col min="11733" max="11733" width="18.85546875" style="6" customWidth="1"/>
    <col min="11734" max="11734" width="19.140625" style="6" customWidth="1"/>
    <col min="11735" max="11735" width="18.85546875" style="6" customWidth="1"/>
    <col min="11736" max="11737" width="17.7109375" style="6" customWidth="1"/>
    <col min="11738" max="11738" width="19.42578125" style="6" customWidth="1"/>
    <col min="11739" max="11739" width="18.5703125" style="6" customWidth="1"/>
    <col min="11740" max="11740" width="17.140625" style="6" customWidth="1"/>
    <col min="11741" max="11741" width="17" style="6" customWidth="1"/>
    <col min="11742" max="11742" width="16.28515625" style="6" customWidth="1"/>
    <col min="11743" max="11743" width="17.85546875" style="6" customWidth="1"/>
    <col min="11744" max="11744" width="18.5703125" style="6" customWidth="1"/>
    <col min="11745" max="11745" width="17.42578125" style="6" customWidth="1"/>
    <col min="11746" max="11746" width="16.5703125" style="6" customWidth="1"/>
    <col min="11747" max="11747" width="17.28515625" style="6" customWidth="1"/>
    <col min="11748" max="11748" width="19" style="6" customWidth="1"/>
    <col min="11749" max="11749" width="18.5703125" style="6" customWidth="1"/>
    <col min="11750" max="11750" width="9.28515625" style="6" customWidth="1"/>
    <col min="11751" max="11751" width="18.7109375" style="6" customWidth="1"/>
    <col min="11752" max="11758" width="18.5703125" style="6" customWidth="1"/>
    <col min="11759" max="11759" width="20.140625" style="6" customWidth="1"/>
    <col min="11760" max="11760" width="18.5703125" style="6" customWidth="1"/>
    <col min="11761" max="11762" width="0" style="6" hidden="1" customWidth="1"/>
    <col min="11763" max="11763" width="18.5703125" style="6" customWidth="1"/>
    <col min="11764" max="11767" width="0" style="6" hidden="1" customWidth="1"/>
    <col min="11768" max="11768" width="15.5703125" style="6" customWidth="1"/>
    <col min="11769" max="11769" width="19" style="6" customWidth="1"/>
    <col min="11770" max="11770" width="18.5703125" style="6" customWidth="1"/>
    <col min="11771" max="11889" width="11.42578125" style="6"/>
    <col min="11890" max="11890" width="44" style="6" customWidth="1"/>
    <col min="11891" max="11893" width="0" style="6" hidden="1" customWidth="1"/>
    <col min="11894" max="11894" width="12.7109375" style="6" customWidth="1"/>
    <col min="11895" max="11895" width="10.28515625" style="6" bestFit="1" customWidth="1"/>
    <col min="11896" max="11896" width="10.28515625" style="6" customWidth="1"/>
    <col min="11897" max="11897" width="9.7109375" style="6" customWidth="1"/>
    <col min="11898" max="11898" width="12.7109375" style="6" customWidth="1"/>
    <col min="11899" max="11899" width="12" style="6" customWidth="1"/>
    <col min="11900" max="11900" width="11.5703125" style="6" customWidth="1"/>
    <col min="11901" max="11901" width="10" style="6" customWidth="1"/>
    <col min="11902" max="11902" width="9" style="6" customWidth="1"/>
    <col min="11903" max="11903" width="8.7109375" style="6" customWidth="1"/>
    <col min="11904" max="11904" width="9.5703125" style="6" customWidth="1"/>
    <col min="11905" max="11905" width="17.140625" style="6" customWidth="1"/>
    <col min="11906" max="11906" width="8.85546875" style="6" customWidth="1"/>
    <col min="11907" max="11925" width="18.7109375" style="6" customWidth="1"/>
    <col min="11926" max="11926" width="17.5703125" style="6" customWidth="1"/>
    <col min="11927" max="11927" width="21.5703125" style="6" customWidth="1"/>
    <col min="11928" max="11928" width="18.42578125" style="6" customWidth="1"/>
    <col min="11929" max="11929" width="20.140625" style="6" customWidth="1"/>
    <col min="11930" max="11930" width="18.7109375" style="6" customWidth="1"/>
    <col min="11931" max="11931" width="17.7109375" style="6" customWidth="1"/>
    <col min="11932" max="11933" width="18.85546875" style="6" customWidth="1"/>
    <col min="11934" max="11934" width="18.28515625" style="6" customWidth="1"/>
    <col min="11935" max="11935" width="20.140625" style="6" customWidth="1"/>
    <col min="11936" max="11936" width="17.140625" style="6" customWidth="1"/>
    <col min="11937" max="11937" width="17.42578125" style="6" customWidth="1"/>
    <col min="11938" max="11938" width="16.28515625" style="6" customWidth="1"/>
    <col min="11939" max="11939" width="19.28515625" style="6" customWidth="1"/>
    <col min="11940" max="11940" width="18" style="6" customWidth="1"/>
    <col min="11941" max="11941" width="18.28515625" style="6" customWidth="1"/>
    <col min="11942" max="11942" width="17.140625" style="6" customWidth="1"/>
    <col min="11943" max="11943" width="16.7109375" style="6" customWidth="1"/>
    <col min="11944" max="11944" width="17.7109375" style="6" customWidth="1"/>
    <col min="11945" max="11945" width="19.28515625" style="6" customWidth="1"/>
    <col min="11946" max="11946" width="17.28515625" style="6" customWidth="1"/>
    <col min="11947" max="11947" width="17.7109375" style="6" customWidth="1"/>
    <col min="11948" max="11948" width="19.7109375" style="6" customWidth="1"/>
    <col min="11949" max="11949" width="17.28515625" style="6" customWidth="1"/>
    <col min="11950" max="11950" width="18.28515625" style="6" customWidth="1"/>
    <col min="11951" max="11951" width="20.85546875" style="6" customWidth="1"/>
    <col min="11952" max="11952" width="17.28515625" style="6" customWidth="1"/>
    <col min="11953" max="11953" width="17.5703125" style="6" customWidth="1"/>
    <col min="11954" max="11954" width="18.42578125" style="6" customWidth="1"/>
    <col min="11955" max="11955" width="18.85546875" style="6" customWidth="1"/>
    <col min="11956" max="11956" width="19.7109375" style="6" customWidth="1"/>
    <col min="11957" max="11957" width="18" style="6" customWidth="1"/>
    <col min="11958" max="11958" width="19.140625" style="6" customWidth="1"/>
    <col min="11959" max="11959" width="19" style="6" customWidth="1"/>
    <col min="11960" max="11960" width="19.28515625" style="6" customWidth="1"/>
    <col min="11961" max="11962" width="19" style="6" customWidth="1"/>
    <col min="11963" max="11963" width="18.28515625" style="6" customWidth="1"/>
    <col min="11964" max="11964" width="19.5703125" style="6" customWidth="1"/>
    <col min="11965" max="11965" width="20.28515625" style="6" customWidth="1"/>
    <col min="11966" max="11966" width="8.7109375" style="6" customWidth="1"/>
    <col min="11967" max="11967" width="20.42578125" style="6" customWidth="1"/>
    <col min="11968" max="11968" width="18.28515625" style="6" customWidth="1"/>
    <col min="11969" max="11969" width="17.85546875" style="6" customWidth="1"/>
    <col min="11970" max="11970" width="19.28515625" style="6" customWidth="1"/>
    <col min="11971" max="11971" width="18.140625" style="6" customWidth="1"/>
    <col min="11972" max="11972" width="17.85546875" style="6" customWidth="1"/>
    <col min="11973" max="11973" width="18" style="6" customWidth="1"/>
    <col min="11974" max="11974" width="18.28515625" style="6" customWidth="1"/>
    <col min="11975" max="11975" width="19.42578125" style="6" customWidth="1"/>
    <col min="11976" max="11976" width="17.85546875" style="6" customWidth="1"/>
    <col min="11977" max="11977" width="18.85546875" style="6" customWidth="1"/>
    <col min="11978" max="11978" width="17.85546875" style="6" customWidth="1"/>
    <col min="11979" max="11979" width="18.5703125" style="6" customWidth="1"/>
    <col min="11980" max="11980" width="19.140625" style="6" customWidth="1"/>
    <col min="11981" max="11981" width="19.42578125" style="6" customWidth="1"/>
    <col min="11982" max="11982" width="17.7109375" style="6" customWidth="1"/>
    <col min="11983" max="11983" width="19.42578125" style="6" customWidth="1"/>
    <col min="11984" max="11984" width="19.28515625" style="6" customWidth="1"/>
    <col min="11985" max="11985" width="19.85546875" style="6" customWidth="1"/>
    <col min="11986" max="11986" width="12" style="6" customWidth="1"/>
    <col min="11987" max="11987" width="18.5703125" style="6" customWidth="1"/>
    <col min="11988" max="11988" width="17.85546875" style="6" customWidth="1"/>
    <col min="11989" max="11989" width="18.85546875" style="6" customWidth="1"/>
    <col min="11990" max="11990" width="19.140625" style="6" customWidth="1"/>
    <col min="11991" max="11991" width="18.85546875" style="6" customWidth="1"/>
    <col min="11992" max="11993" width="17.7109375" style="6" customWidth="1"/>
    <col min="11994" max="11994" width="19.42578125" style="6" customWidth="1"/>
    <col min="11995" max="11995" width="18.5703125" style="6" customWidth="1"/>
    <col min="11996" max="11996" width="17.140625" style="6" customWidth="1"/>
    <col min="11997" max="11997" width="17" style="6" customWidth="1"/>
    <col min="11998" max="11998" width="16.28515625" style="6" customWidth="1"/>
    <col min="11999" max="11999" width="17.85546875" style="6" customWidth="1"/>
    <col min="12000" max="12000" width="18.5703125" style="6" customWidth="1"/>
    <col min="12001" max="12001" width="17.42578125" style="6" customWidth="1"/>
    <col min="12002" max="12002" width="16.5703125" style="6" customWidth="1"/>
    <col min="12003" max="12003" width="17.28515625" style="6" customWidth="1"/>
    <col min="12004" max="12004" width="19" style="6" customWidth="1"/>
    <col min="12005" max="12005" width="18.5703125" style="6" customWidth="1"/>
    <col min="12006" max="12006" width="9.28515625" style="6" customWidth="1"/>
    <col min="12007" max="12007" width="18.7109375" style="6" customWidth="1"/>
    <col min="12008" max="12014" width="18.5703125" style="6" customWidth="1"/>
    <col min="12015" max="12015" width="20.140625" style="6" customWidth="1"/>
    <col min="12016" max="12016" width="18.5703125" style="6" customWidth="1"/>
    <col min="12017" max="12018" width="0" style="6" hidden="1" customWidth="1"/>
    <col min="12019" max="12019" width="18.5703125" style="6" customWidth="1"/>
    <col min="12020" max="12023" width="0" style="6" hidden="1" customWidth="1"/>
    <col min="12024" max="12024" width="15.5703125" style="6" customWidth="1"/>
    <col min="12025" max="12025" width="19" style="6" customWidth="1"/>
    <col min="12026" max="12026" width="18.5703125" style="6" customWidth="1"/>
    <col min="12027" max="12145" width="11.42578125" style="6"/>
    <col min="12146" max="12146" width="44" style="6" customWidth="1"/>
    <col min="12147" max="12149" width="0" style="6" hidden="1" customWidth="1"/>
    <col min="12150" max="12150" width="12.7109375" style="6" customWidth="1"/>
    <col min="12151" max="12151" width="10.28515625" style="6" bestFit="1" customWidth="1"/>
    <col min="12152" max="12152" width="10.28515625" style="6" customWidth="1"/>
    <col min="12153" max="12153" width="9.7109375" style="6" customWidth="1"/>
    <col min="12154" max="12154" width="12.7109375" style="6" customWidth="1"/>
    <col min="12155" max="12155" width="12" style="6" customWidth="1"/>
    <col min="12156" max="12156" width="11.5703125" style="6" customWidth="1"/>
    <col min="12157" max="12157" width="10" style="6" customWidth="1"/>
    <col min="12158" max="12158" width="9" style="6" customWidth="1"/>
    <col min="12159" max="12159" width="8.7109375" style="6" customWidth="1"/>
    <col min="12160" max="12160" width="9.5703125" style="6" customWidth="1"/>
    <col min="12161" max="12161" width="17.140625" style="6" customWidth="1"/>
    <col min="12162" max="12162" width="8.85546875" style="6" customWidth="1"/>
    <col min="12163" max="12181" width="18.7109375" style="6" customWidth="1"/>
    <col min="12182" max="12182" width="17.5703125" style="6" customWidth="1"/>
    <col min="12183" max="12183" width="21.5703125" style="6" customWidth="1"/>
    <col min="12184" max="12184" width="18.42578125" style="6" customWidth="1"/>
    <col min="12185" max="12185" width="20.140625" style="6" customWidth="1"/>
    <col min="12186" max="12186" width="18.7109375" style="6" customWidth="1"/>
    <col min="12187" max="12187" width="17.7109375" style="6" customWidth="1"/>
    <col min="12188" max="12189" width="18.85546875" style="6" customWidth="1"/>
    <col min="12190" max="12190" width="18.28515625" style="6" customWidth="1"/>
    <col min="12191" max="12191" width="20.140625" style="6" customWidth="1"/>
    <col min="12192" max="12192" width="17.140625" style="6" customWidth="1"/>
    <col min="12193" max="12193" width="17.42578125" style="6" customWidth="1"/>
    <col min="12194" max="12194" width="16.28515625" style="6" customWidth="1"/>
    <col min="12195" max="12195" width="19.28515625" style="6" customWidth="1"/>
    <col min="12196" max="12196" width="18" style="6" customWidth="1"/>
    <col min="12197" max="12197" width="18.28515625" style="6" customWidth="1"/>
    <col min="12198" max="12198" width="17.140625" style="6" customWidth="1"/>
    <col min="12199" max="12199" width="16.7109375" style="6" customWidth="1"/>
    <col min="12200" max="12200" width="17.7109375" style="6" customWidth="1"/>
    <col min="12201" max="12201" width="19.28515625" style="6" customWidth="1"/>
    <col min="12202" max="12202" width="17.28515625" style="6" customWidth="1"/>
    <col min="12203" max="12203" width="17.7109375" style="6" customWidth="1"/>
    <col min="12204" max="12204" width="19.7109375" style="6" customWidth="1"/>
    <col min="12205" max="12205" width="17.28515625" style="6" customWidth="1"/>
    <col min="12206" max="12206" width="18.28515625" style="6" customWidth="1"/>
    <col min="12207" max="12207" width="20.85546875" style="6" customWidth="1"/>
    <col min="12208" max="12208" width="17.28515625" style="6" customWidth="1"/>
    <col min="12209" max="12209" width="17.5703125" style="6" customWidth="1"/>
    <col min="12210" max="12210" width="18.42578125" style="6" customWidth="1"/>
    <col min="12211" max="12211" width="18.85546875" style="6" customWidth="1"/>
    <col min="12212" max="12212" width="19.7109375" style="6" customWidth="1"/>
    <col min="12213" max="12213" width="18" style="6" customWidth="1"/>
    <col min="12214" max="12214" width="19.140625" style="6" customWidth="1"/>
    <col min="12215" max="12215" width="19" style="6" customWidth="1"/>
    <col min="12216" max="12216" width="19.28515625" style="6" customWidth="1"/>
    <col min="12217" max="12218" width="19" style="6" customWidth="1"/>
    <col min="12219" max="12219" width="18.28515625" style="6" customWidth="1"/>
    <col min="12220" max="12220" width="19.5703125" style="6" customWidth="1"/>
    <col min="12221" max="12221" width="20.28515625" style="6" customWidth="1"/>
    <col min="12222" max="12222" width="8.7109375" style="6" customWidth="1"/>
    <col min="12223" max="12223" width="20.42578125" style="6" customWidth="1"/>
    <col min="12224" max="12224" width="18.28515625" style="6" customWidth="1"/>
    <col min="12225" max="12225" width="17.85546875" style="6" customWidth="1"/>
    <col min="12226" max="12226" width="19.28515625" style="6" customWidth="1"/>
    <col min="12227" max="12227" width="18.140625" style="6" customWidth="1"/>
    <col min="12228" max="12228" width="17.85546875" style="6" customWidth="1"/>
    <col min="12229" max="12229" width="18" style="6" customWidth="1"/>
    <col min="12230" max="12230" width="18.28515625" style="6" customWidth="1"/>
    <col min="12231" max="12231" width="19.42578125" style="6" customWidth="1"/>
    <col min="12232" max="12232" width="17.85546875" style="6" customWidth="1"/>
    <col min="12233" max="12233" width="18.85546875" style="6" customWidth="1"/>
    <col min="12234" max="12234" width="17.85546875" style="6" customWidth="1"/>
    <col min="12235" max="12235" width="18.5703125" style="6" customWidth="1"/>
    <col min="12236" max="12236" width="19.140625" style="6" customWidth="1"/>
    <col min="12237" max="12237" width="19.42578125" style="6" customWidth="1"/>
    <col min="12238" max="12238" width="17.7109375" style="6" customWidth="1"/>
    <col min="12239" max="12239" width="19.42578125" style="6" customWidth="1"/>
    <col min="12240" max="12240" width="19.28515625" style="6" customWidth="1"/>
    <col min="12241" max="12241" width="19.85546875" style="6" customWidth="1"/>
    <col min="12242" max="12242" width="12" style="6" customWidth="1"/>
    <col min="12243" max="12243" width="18.5703125" style="6" customWidth="1"/>
    <col min="12244" max="12244" width="17.85546875" style="6" customWidth="1"/>
    <col min="12245" max="12245" width="18.85546875" style="6" customWidth="1"/>
    <col min="12246" max="12246" width="19.140625" style="6" customWidth="1"/>
    <col min="12247" max="12247" width="18.85546875" style="6" customWidth="1"/>
    <col min="12248" max="12249" width="17.7109375" style="6" customWidth="1"/>
    <col min="12250" max="12250" width="19.42578125" style="6" customWidth="1"/>
    <col min="12251" max="12251" width="18.5703125" style="6" customWidth="1"/>
    <col min="12252" max="12252" width="17.140625" style="6" customWidth="1"/>
    <col min="12253" max="12253" width="17" style="6" customWidth="1"/>
    <col min="12254" max="12254" width="16.28515625" style="6" customWidth="1"/>
    <col min="12255" max="12255" width="17.85546875" style="6" customWidth="1"/>
    <col min="12256" max="12256" width="18.5703125" style="6" customWidth="1"/>
    <col min="12257" max="12257" width="17.42578125" style="6" customWidth="1"/>
    <col min="12258" max="12258" width="16.5703125" style="6" customWidth="1"/>
    <col min="12259" max="12259" width="17.28515625" style="6" customWidth="1"/>
    <col min="12260" max="12260" width="19" style="6" customWidth="1"/>
    <col min="12261" max="12261" width="18.5703125" style="6" customWidth="1"/>
    <col min="12262" max="12262" width="9.28515625" style="6" customWidth="1"/>
    <col min="12263" max="12263" width="18.7109375" style="6" customWidth="1"/>
    <col min="12264" max="12270" width="18.5703125" style="6" customWidth="1"/>
    <col min="12271" max="12271" width="20.140625" style="6" customWidth="1"/>
    <col min="12272" max="12272" width="18.5703125" style="6" customWidth="1"/>
    <col min="12273" max="12274" width="0" style="6" hidden="1" customWidth="1"/>
    <col min="12275" max="12275" width="18.5703125" style="6" customWidth="1"/>
    <col min="12276" max="12279" width="0" style="6" hidden="1" customWidth="1"/>
    <col min="12280" max="12280" width="15.5703125" style="6" customWidth="1"/>
    <col min="12281" max="12281" width="19" style="6" customWidth="1"/>
    <col min="12282" max="12282" width="18.5703125" style="6" customWidth="1"/>
    <col min="12283" max="12401" width="11.42578125" style="6"/>
    <col min="12402" max="12402" width="44" style="6" customWidth="1"/>
    <col min="12403" max="12405" width="0" style="6" hidden="1" customWidth="1"/>
    <col min="12406" max="12406" width="12.7109375" style="6" customWidth="1"/>
    <col min="12407" max="12407" width="10.28515625" style="6" bestFit="1" customWidth="1"/>
    <col min="12408" max="12408" width="10.28515625" style="6" customWidth="1"/>
    <col min="12409" max="12409" width="9.7109375" style="6" customWidth="1"/>
    <col min="12410" max="12410" width="12.7109375" style="6" customWidth="1"/>
    <col min="12411" max="12411" width="12" style="6" customWidth="1"/>
    <col min="12412" max="12412" width="11.5703125" style="6" customWidth="1"/>
    <col min="12413" max="12413" width="10" style="6" customWidth="1"/>
    <col min="12414" max="12414" width="9" style="6" customWidth="1"/>
    <col min="12415" max="12415" width="8.7109375" style="6" customWidth="1"/>
    <col min="12416" max="12416" width="9.5703125" style="6" customWidth="1"/>
    <col min="12417" max="12417" width="17.140625" style="6" customWidth="1"/>
    <col min="12418" max="12418" width="8.85546875" style="6" customWidth="1"/>
    <col min="12419" max="12437" width="18.7109375" style="6" customWidth="1"/>
    <col min="12438" max="12438" width="17.5703125" style="6" customWidth="1"/>
    <col min="12439" max="12439" width="21.5703125" style="6" customWidth="1"/>
    <col min="12440" max="12440" width="18.42578125" style="6" customWidth="1"/>
    <col min="12441" max="12441" width="20.140625" style="6" customWidth="1"/>
    <col min="12442" max="12442" width="18.7109375" style="6" customWidth="1"/>
    <col min="12443" max="12443" width="17.7109375" style="6" customWidth="1"/>
    <col min="12444" max="12445" width="18.85546875" style="6" customWidth="1"/>
    <col min="12446" max="12446" width="18.28515625" style="6" customWidth="1"/>
    <col min="12447" max="12447" width="20.140625" style="6" customWidth="1"/>
    <col min="12448" max="12448" width="17.140625" style="6" customWidth="1"/>
    <col min="12449" max="12449" width="17.42578125" style="6" customWidth="1"/>
    <col min="12450" max="12450" width="16.28515625" style="6" customWidth="1"/>
    <col min="12451" max="12451" width="19.28515625" style="6" customWidth="1"/>
    <col min="12452" max="12452" width="18" style="6" customWidth="1"/>
    <col min="12453" max="12453" width="18.28515625" style="6" customWidth="1"/>
    <col min="12454" max="12454" width="17.140625" style="6" customWidth="1"/>
    <col min="12455" max="12455" width="16.7109375" style="6" customWidth="1"/>
    <col min="12456" max="12456" width="17.7109375" style="6" customWidth="1"/>
    <col min="12457" max="12457" width="19.28515625" style="6" customWidth="1"/>
    <col min="12458" max="12458" width="17.28515625" style="6" customWidth="1"/>
    <col min="12459" max="12459" width="17.7109375" style="6" customWidth="1"/>
    <col min="12460" max="12460" width="19.7109375" style="6" customWidth="1"/>
    <col min="12461" max="12461" width="17.28515625" style="6" customWidth="1"/>
    <col min="12462" max="12462" width="18.28515625" style="6" customWidth="1"/>
    <col min="12463" max="12463" width="20.85546875" style="6" customWidth="1"/>
    <col min="12464" max="12464" width="17.28515625" style="6" customWidth="1"/>
    <col min="12465" max="12465" width="17.5703125" style="6" customWidth="1"/>
    <col min="12466" max="12466" width="18.42578125" style="6" customWidth="1"/>
    <col min="12467" max="12467" width="18.85546875" style="6" customWidth="1"/>
    <col min="12468" max="12468" width="19.7109375" style="6" customWidth="1"/>
    <col min="12469" max="12469" width="18" style="6" customWidth="1"/>
    <col min="12470" max="12470" width="19.140625" style="6" customWidth="1"/>
    <col min="12471" max="12471" width="19" style="6" customWidth="1"/>
    <col min="12472" max="12472" width="19.28515625" style="6" customWidth="1"/>
    <col min="12473" max="12474" width="19" style="6" customWidth="1"/>
    <col min="12475" max="12475" width="18.28515625" style="6" customWidth="1"/>
    <col min="12476" max="12476" width="19.5703125" style="6" customWidth="1"/>
    <col min="12477" max="12477" width="20.28515625" style="6" customWidth="1"/>
    <col min="12478" max="12478" width="8.7109375" style="6" customWidth="1"/>
    <col min="12479" max="12479" width="20.42578125" style="6" customWidth="1"/>
    <col min="12480" max="12480" width="18.28515625" style="6" customWidth="1"/>
    <col min="12481" max="12481" width="17.85546875" style="6" customWidth="1"/>
    <col min="12482" max="12482" width="19.28515625" style="6" customWidth="1"/>
    <col min="12483" max="12483" width="18.140625" style="6" customWidth="1"/>
    <col min="12484" max="12484" width="17.85546875" style="6" customWidth="1"/>
    <col min="12485" max="12485" width="18" style="6" customWidth="1"/>
    <col min="12486" max="12486" width="18.28515625" style="6" customWidth="1"/>
    <col min="12487" max="12487" width="19.42578125" style="6" customWidth="1"/>
    <col min="12488" max="12488" width="17.85546875" style="6" customWidth="1"/>
    <col min="12489" max="12489" width="18.85546875" style="6" customWidth="1"/>
    <col min="12490" max="12490" width="17.85546875" style="6" customWidth="1"/>
    <col min="12491" max="12491" width="18.5703125" style="6" customWidth="1"/>
    <col min="12492" max="12492" width="19.140625" style="6" customWidth="1"/>
    <col min="12493" max="12493" width="19.42578125" style="6" customWidth="1"/>
    <col min="12494" max="12494" width="17.7109375" style="6" customWidth="1"/>
    <col min="12495" max="12495" width="19.42578125" style="6" customWidth="1"/>
    <col min="12496" max="12496" width="19.28515625" style="6" customWidth="1"/>
    <col min="12497" max="12497" width="19.85546875" style="6" customWidth="1"/>
    <col min="12498" max="12498" width="12" style="6" customWidth="1"/>
    <col min="12499" max="12499" width="18.5703125" style="6" customWidth="1"/>
    <col min="12500" max="12500" width="17.85546875" style="6" customWidth="1"/>
    <col min="12501" max="12501" width="18.85546875" style="6" customWidth="1"/>
    <col min="12502" max="12502" width="19.140625" style="6" customWidth="1"/>
    <col min="12503" max="12503" width="18.85546875" style="6" customWidth="1"/>
    <col min="12504" max="12505" width="17.7109375" style="6" customWidth="1"/>
    <col min="12506" max="12506" width="19.42578125" style="6" customWidth="1"/>
    <col min="12507" max="12507" width="18.5703125" style="6" customWidth="1"/>
    <col min="12508" max="12508" width="17.140625" style="6" customWidth="1"/>
    <col min="12509" max="12509" width="17" style="6" customWidth="1"/>
    <col min="12510" max="12510" width="16.28515625" style="6" customWidth="1"/>
    <col min="12511" max="12511" width="17.85546875" style="6" customWidth="1"/>
    <col min="12512" max="12512" width="18.5703125" style="6" customWidth="1"/>
    <col min="12513" max="12513" width="17.42578125" style="6" customWidth="1"/>
    <col min="12514" max="12514" width="16.5703125" style="6" customWidth="1"/>
    <col min="12515" max="12515" width="17.28515625" style="6" customWidth="1"/>
    <col min="12516" max="12516" width="19" style="6" customWidth="1"/>
    <col min="12517" max="12517" width="18.5703125" style="6" customWidth="1"/>
    <col min="12518" max="12518" width="9.28515625" style="6" customWidth="1"/>
    <col min="12519" max="12519" width="18.7109375" style="6" customWidth="1"/>
    <col min="12520" max="12526" width="18.5703125" style="6" customWidth="1"/>
    <col min="12527" max="12527" width="20.140625" style="6" customWidth="1"/>
    <col min="12528" max="12528" width="18.5703125" style="6" customWidth="1"/>
    <col min="12529" max="12530" width="0" style="6" hidden="1" customWidth="1"/>
    <col min="12531" max="12531" width="18.5703125" style="6" customWidth="1"/>
    <col min="12532" max="12535" width="0" style="6" hidden="1" customWidth="1"/>
    <col min="12536" max="12536" width="15.5703125" style="6" customWidth="1"/>
    <col min="12537" max="12537" width="19" style="6" customWidth="1"/>
    <col min="12538" max="12538" width="18.5703125" style="6" customWidth="1"/>
    <col min="12539" max="12657" width="11.42578125" style="6"/>
    <col min="12658" max="12658" width="44" style="6" customWidth="1"/>
    <col min="12659" max="12661" width="0" style="6" hidden="1" customWidth="1"/>
    <col min="12662" max="12662" width="12.7109375" style="6" customWidth="1"/>
    <col min="12663" max="12663" width="10.28515625" style="6" bestFit="1" customWidth="1"/>
    <col min="12664" max="12664" width="10.28515625" style="6" customWidth="1"/>
    <col min="12665" max="12665" width="9.7109375" style="6" customWidth="1"/>
    <col min="12666" max="12666" width="12.7109375" style="6" customWidth="1"/>
    <col min="12667" max="12667" width="12" style="6" customWidth="1"/>
    <col min="12668" max="12668" width="11.5703125" style="6" customWidth="1"/>
    <col min="12669" max="12669" width="10" style="6" customWidth="1"/>
    <col min="12670" max="12670" width="9" style="6" customWidth="1"/>
    <col min="12671" max="12671" width="8.7109375" style="6" customWidth="1"/>
    <col min="12672" max="12672" width="9.5703125" style="6" customWidth="1"/>
    <col min="12673" max="12673" width="17.140625" style="6" customWidth="1"/>
    <col min="12674" max="12674" width="8.85546875" style="6" customWidth="1"/>
    <col min="12675" max="12693" width="18.7109375" style="6" customWidth="1"/>
    <col min="12694" max="12694" width="17.5703125" style="6" customWidth="1"/>
    <col min="12695" max="12695" width="21.5703125" style="6" customWidth="1"/>
    <col min="12696" max="12696" width="18.42578125" style="6" customWidth="1"/>
    <col min="12697" max="12697" width="20.140625" style="6" customWidth="1"/>
    <col min="12698" max="12698" width="18.7109375" style="6" customWidth="1"/>
    <col min="12699" max="12699" width="17.7109375" style="6" customWidth="1"/>
    <col min="12700" max="12701" width="18.85546875" style="6" customWidth="1"/>
    <col min="12702" max="12702" width="18.28515625" style="6" customWidth="1"/>
    <col min="12703" max="12703" width="20.140625" style="6" customWidth="1"/>
    <col min="12704" max="12704" width="17.140625" style="6" customWidth="1"/>
    <col min="12705" max="12705" width="17.42578125" style="6" customWidth="1"/>
    <col min="12706" max="12706" width="16.28515625" style="6" customWidth="1"/>
    <col min="12707" max="12707" width="19.28515625" style="6" customWidth="1"/>
    <col min="12708" max="12708" width="18" style="6" customWidth="1"/>
    <col min="12709" max="12709" width="18.28515625" style="6" customWidth="1"/>
    <col min="12710" max="12710" width="17.140625" style="6" customWidth="1"/>
    <col min="12711" max="12711" width="16.7109375" style="6" customWidth="1"/>
    <col min="12712" max="12712" width="17.7109375" style="6" customWidth="1"/>
    <col min="12713" max="12713" width="19.28515625" style="6" customWidth="1"/>
    <col min="12714" max="12714" width="17.28515625" style="6" customWidth="1"/>
    <col min="12715" max="12715" width="17.7109375" style="6" customWidth="1"/>
    <col min="12716" max="12716" width="19.7109375" style="6" customWidth="1"/>
    <col min="12717" max="12717" width="17.28515625" style="6" customWidth="1"/>
    <col min="12718" max="12718" width="18.28515625" style="6" customWidth="1"/>
    <col min="12719" max="12719" width="20.85546875" style="6" customWidth="1"/>
    <col min="12720" max="12720" width="17.28515625" style="6" customWidth="1"/>
    <col min="12721" max="12721" width="17.5703125" style="6" customWidth="1"/>
    <col min="12722" max="12722" width="18.42578125" style="6" customWidth="1"/>
    <col min="12723" max="12723" width="18.85546875" style="6" customWidth="1"/>
    <col min="12724" max="12724" width="19.7109375" style="6" customWidth="1"/>
    <col min="12725" max="12725" width="18" style="6" customWidth="1"/>
    <col min="12726" max="12726" width="19.140625" style="6" customWidth="1"/>
    <col min="12727" max="12727" width="19" style="6" customWidth="1"/>
    <col min="12728" max="12728" width="19.28515625" style="6" customWidth="1"/>
    <col min="12729" max="12730" width="19" style="6" customWidth="1"/>
    <col min="12731" max="12731" width="18.28515625" style="6" customWidth="1"/>
    <col min="12732" max="12732" width="19.5703125" style="6" customWidth="1"/>
    <col min="12733" max="12733" width="20.28515625" style="6" customWidth="1"/>
    <col min="12734" max="12734" width="8.7109375" style="6" customWidth="1"/>
    <col min="12735" max="12735" width="20.42578125" style="6" customWidth="1"/>
    <col min="12736" max="12736" width="18.28515625" style="6" customWidth="1"/>
    <col min="12737" max="12737" width="17.85546875" style="6" customWidth="1"/>
    <col min="12738" max="12738" width="19.28515625" style="6" customWidth="1"/>
    <col min="12739" max="12739" width="18.140625" style="6" customWidth="1"/>
    <col min="12740" max="12740" width="17.85546875" style="6" customWidth="1"/>
    <col min="12741" max="12741" width="18" style="6" customWidth="1"/>
    <col min="12742" max="12742" width="18.28515625" style="6" customWidth="1"/>
    <col min="12743" max="12743" width="19.42578125" style="6" customWidth="1"/>
    <col min="12744" max="12744" width="17.85546875" style="6" customWidth="1"/>
    <col min="12745" max="12745" width="18.85546875" style="6" customWidth="1"/>
    <col min="12746" max="12746" width="17.85546875" style="6" customWidth="1"/>
    <col min="12747" max="12747" width="18.5703125" style="6" customWidth="1"/>
    <col min="12748" max="12748" width="19.140625" style="6" customWidth="1"/>
    <col min="12749" max="12749" width="19.42578125" style="6" customWidth="1"/>
    <col min="12750" max="12750" width="17.7109375" style="6" customWidth="1"/>
    <col min="12751" max="12751" width="19.42578125" style="6" customWidth="1"/>
    <col min="12752" max="12752" width="19.28515625" style="6" customWidth="1"/>
    <col min="12753" max="12753" width="19.85546875" style="6" customWidth="1"/>
    <col min="12754" max="12754" width="12" style="6" customWidth="1"/>
    <col min="12755" max="12755" width="18.5703125" style="6" customWidth="1"/>
    <col min="12756" max="12756" width="17.85546875" style="6" customWidth="1"/>
    <col min="12757" max="12757" width="18.85546875" style="6" customWidth="1"/>
    <col min="12758" max="12758" width="19.140625" style="6" customWidth="1"/>
    <col min="12759" max="12759" width="18.85546875" style="6" customWidth="1"/>
    <col min="12760" max="12761" width="17.7109375" style="6" customWidth="1"/>
    <col min="12762" max="12762" width="19.42578125" style="6" customWidth="1"/>
    <col min="12763" max="12763" width="18.5703125" style="6" customWidth="1"/>
    <col min="12764" max="12764" width="17.140625" style="6" customWidth="1"/>
    <col min="12765" max="12765" width="17" style="6" customWidth="1"/>
    <col min="12766" max="12766" width="16.28515625" style="6" customWidth="1"/>
    <col min="12767" max="12767" width="17.85546875" style="6" customWidth="1"/>
    <col min="12768" max="12768" width="18.5703125" style="6" customWidth="1"/>
    <col min="12769" max="12769" width="17.42578125" style="6" customWidth="1"/>
    <col min="12770" max="12770" width="16.5703125" style="6" customWidth="1"/>
    <col min="12771" max="12771" width="17.28515625" style="6" customWidth="1"/>
    <col min="12772" max="12772" width="19" style="6" customWidth="1"/>
    <col min="12773" max="12773" width="18.5703125" style="6" customWidth="1"/>
    <col min="12774" max="12774" width="9.28515625" style="6" customWidth="1"/>
    <col min="12775" max="12775" width="18.7109375" style="6" customWidth="1"/>
    <col min="12776" max="12782" width="18.5703125" style="6" customWidth="1"/>
    <col min="12783" max="12783" width="20.140625" style="6" customWidth="1"/>
    <col min="12784" max="12784" width="18.5703125" style="6" customWidth="1"/>
    <col min="12785" max="12786" width="0" style="6" hidden="1" customWidth="1"/>
    <col min="12787" max="12787" width="18.5703125" style="6" customWidth="1"/>
    <col min="12788" max="12791" width="0" style="6" hidden="1" customWidth="1"/>
    <col min="12792" max="12792" width="15.5703125" style="6" customWidth="1"/>
    <col min="12793" max="12793" width="19" style="6" customWidth="1"/>
    <col min="12794" max="12794" width="18.5703125" style="6" customWidth="1"/>
    <col min="12795" max="12913" width="11.42578125" style="6"/>
    <col min="12914" max="12914" width="44" style="6" customWidth="1"/>
    <col min="12915" max="12917" width="0" style="6" hidden="1" customWidth="1"/>
    <col min="12918" max="12918" width="12.7109375" style="6" customWidth="1"/>
    <col min="12919" max="12919" width="10.28515625" style="6" bestFit="1" customWidth="1"/>
    <col min="12920" max="12920" width="10.28515625" style="6" customWidth="1"/>
    <col min="12921" max="12921" width="9.7109375" style="6" customWidth="1"/>
    <col min="12922" max="12922" width="12.7109375" style="6" customWidth="1"/>
    <col min="12923" max="12923" width="12" style="6" customWidth="1"/>
    <col min="12924" max="12924" width="11.5703125" style="6" customWidth="1"/>
    <col min="12925" max="12925" width="10" style="6" customWidth="1"/>
    <col min="12926" max="12926" width="9" style="6" customWidth="1"/>
    <col min="12927" max="12927" width="8.7109375" style="6" customWidth="1"/>
    <col min="12928" max="12928" width="9.5703125" style="6" customWidth="1"/>
    <col min="12929" max="12929" width="17.140625" style="6" customWidth="1"/>
    <col min="12930" max="12930" width="8.85546875" style="6" customWidth="1"/>
    <col min="12931" max="12949" width="18.7109375" style="6" customWidth="1"/>
    <col min="12950" max="12950" width="17.5703125" style="6" customWidth="1"/>
    <col min="12951" max="12951" width="21.5703125" style="6" customWidth="1"/>
    <col min="12952" max="12952" width="18.42578125" style="6" customWidth="1"/>
    <col min="12953" max="12953" width="20.140625" style="6" customWidth="1"/>
    <col min="12954" max="12954" width="18.7109375" style="6" customWidth="1"/>
    <col min="12955" max="12955" width="17.7109375" style="6" customWidth="1"/>
    <col min="12956" max="12957" width="18.85546875" style="6" customWidth="1"/>
    <col min="12958" max="12958" width="18.28515625" style="6" customWidth="1"/>
    <col min="12959" max="12959" width="20.140625" style="6" customWidth="1"/>
    <col min="12960" max="12960" width="17.140625" style="6" customWidth="1"/>
    <col min="12961" max="12961" width="17.42578125" style="6" customWidth="1"/>
    <col min="12962" max="12962" width="16.28515625" style="6" customWidth="1"/>
    <col min="12963" max="12963" width="19.28515625" style="6" customWidth="1"/>
    <col min="12964" max="12964" width="18" style="6" customWidth="1"/>
    <col min="12965" max="12965" width="18.28515625" style="6" customWidth="1"/>
    <col min="12966" max="12966" width="17.140625" style="6" customWidth="1"/>
    <col min="12967" max="12967" width="16.7109375" style="6" customWidth="1"/>
    <col min="12968" max="12968" width="17.7109375" style="6" customWidth="1"/>
    <col min="12969" max="12969" width="19.28515625" style="6" customWidth="1"/>
    <col min="12970" max="12970" width="17.28515625" style="6" customWidth="1"/>
    <col min="12971" max="12971" width="17.7109375" style="6" customWidth="1"/>
    <col min="12972" max="12972" width="19.7109375" style="6" customWidth="1"/>
    <col min="12973" max="12973" width="17.28515625" style="6" customWidth="1"/>
    <col min="12974" max="12974" width="18.28515625" style="6" customWidth="1"/>
    <col min="12975" max="12975" width="20.85546875" style="6" customWidth="1"/>
    <col min="12976" max="12976" width="17.28515625" style="6" customWidth="1"/>
    <col min="12977" max="12977" width="17.5703125" style="6" customWidth="1"/>
    <col min="12978" max="12978" width="18.42578125" style="6" customWidth="1"/>
    <col min="12979" max="12979" width="18.85546875" style="6" customWidth="1"/>
    <col min="12980" max="12980" width="19.7109375" style="6" customWidth="1"/>
    <col min="12981" max="12981" width="18" style="6" customWidth="1"/>
    <col min="12982" max="12982" width="19.140625" style="6" customWidth="1"/>
    <col min="12983" max="12983" width="19" style="6" customWidth="1"/>
    <col min="12984" max="12984" width="19.28515625" style="6" customWidth="1"/>
    <col min="12985" max="12986" width="19" style="6" customWidth="1"/>
    <col min="12987" max="12987" width="18.28515625" style="6" customWidth="1"/>
    <col min="12988" max="12988" width="19.5703125" style="6" customWidth="1"/>
    <col min="12989" max="12989" width="20.28515625" style="6" customWidth="1"/>
    <col min="12990" max="12990" width="8.7109375" style="6" customWidth="1"/>
    <col min="12991" max="12991" width="20.42578125" style="6" customWidth="1"/>
    <col min="12992" max="12992" width="18.28515625" style="6" customWidth="1"/>
    <col min="12993" max="12993" width="17.85546875" style="6" customWidth="1"/>
    <col min="12994" max="12994" width="19.28515625" style="6" customWidth="1"/>
    <col min="12995" max="12995" width="18.140625" style="6" customWidth="1"/>
    <col min="12996" max="12996" width="17.85546875" style="6" customWidth="1"/>
    <col min="12997" max="12997" width="18" style="6" customWidth="1"/>
    <col min="12998" max="12998" width="18.28515625" style="6" customWidth="1"/>
    <col min="12999" max="12999" width="19.42578125" style="6" customWidth="1"/>
    <col min="13000" max="13000" width="17.85546875" style="6" customWidth="1"/>
    <col min="13001" max="13001" width="18.85546875" style="6" customWidth="1"/>
    <col min="13002" max="13002" width="17.85546875" style="6" customWidth="1"/>
    <col min="13003" max="13003" width="18.5703125" style="6" customWidth="1"/>
    <col min="13004" max="13004" width="19.140625" style="6" customWidth="1"/>
    <col min="13005" max="13005" width="19.42578125" style="6" customWidth="1"/>
    <col min="13006" max="13006" width="17.7109375" style="6" customWidth="1"/>
    <col min="13007" max="13007" width="19.42578125" style="6" customWidth="1"/>
    <col min="13008" max="13008" width="19.28515625" style="6" customWidth="1"/>
    <col min="13009" max="13009" width="19.85546875" style="6" customWidth="1"/>
    <col min="13010" max="13010" width="12" style="6" customWidth="1"/>
    <col min="13011" max="13011" width="18.5703125" style="6" customWidth="1"/>
    <col min="13012" max="13012" width="17.85546875" style="6" customWidth="1"/>
    <col min="13013" max="13013" width="18.85546875" style="6" customWidth="1"/>
    <col min="13014" max="13014" width="19.140625" style="6" customWidth="1"/>
    <col min="13015" max="13015" width="18.85546875" style="6" customWidth="1"/>
    <col min="13016" max="13017" width="17.7109375" style="6" customWidth="1"/>
    <col min="13018" max="13018" width="19.42578125" style="6" customWidth="1"/>
    <col min="13019" max="13019" width="18.5703125" style="6" customWidth="1"/>
    <col min="13020" max="13020" width="17.140625" style="6" customWidth="1"/>
    <col min="13021" max="13021" width="17" style="6" customWidth="1"/>
    <col min="13022" max="13022" width="16.28515625" style="6" customWidth="1"/>
    <col min="13023" max="13023" width="17.85546875" style="6" customWidth="1"/>
    <col min="13024" max="13024" width="18.5703125" style="6" customWidth="1"/>
    <col min="13025" max="13025" width="17.42578125" style="6" customWidth="1"/>
    <col min="13026" max="13026" width="16.5703125" style="6" customWidth="1"/>
    <col min="13027" max="13027" width="17.28515625" style="6" customWidth="1"/>
    <col min="13028" max="13028" width="19" style="6" customWidth="1"/>
    <col min="13029" max="13029" width="18.5703125" style="6" customWidth="1"/>
    <col min="13030" max="13030" width="9.28515625" style="6" customWidth="1"/>
    <col min="13031" max="13031" width="18.7109375" style="6" customWidth="1"/>
    <col min="13032" max="13038" width="18.5703125" style="6" customWidth="1"/>
    <col min="13039" max="13039" width="20.140625" style="6" customWidth="1"/>
    <col min="13040" max="13040" width="18.5703125" style="6" customWidth="1"/>
    <col min="13041" max="13042" width="0" style="6" hidden="1" customWidth="1"/>
    <col min="13043" max="13043" width="18.5703125" style="6" customWidth="1"/>
    <col min="13044" max="13047" width="0" style="6" hidden="1" customWidth="1"/>
    <col min="13048" max="13048" width="15.5703125" style="6" customWidth="1"/>
    <col min="13049" max="13049" width="19" style="6" customWidth="1"/>
    <col min="13050" max="13050" width="18.5703125" style="6" customWidth="1"/>
    <col min="13051" max="13169" width="11.42578125" style="6"/>
    <col min="13170" max="13170" width="44" style="6" customWidth="1"/>
    <col min="13171" max="13173" width="0" style="6" hidden="1" customWidth="1"/>
    <col min="13174" max="13174" width="12.7109375" style="6" customWidth="1"/>
    <col min="13175" max="13175" width="10.28515625" style="6" bestFit="1" customWidth="1"/>
    <col min="13176" max="13176" width="10.28515625" style="6" customWidth="1"/>
    <col min="13177" max="13177" width="9.7109375" style="6" customWidth="1"/>
    <col min="13178" max="13178" width="12.7109375" style="6" customWidth="1"/>
    <col min="13179" max="13179" width="12" style="6" customWidth="1"/>
    <col min="13180" max="13180" width="11.5703125" style="6" customWidth="1"/>
    <col min="13181" max="13181" width="10" style="6" customWidth="1"/>
    <col min="13182" max="13182" width="9" style="6" customWidth="1"/>
    <col min="13183" max="13183" width="8.7109375" style="6" customWidth="1"/>
    <col min="13184" max="13184" width="9.5703125" style="6" customWidth="1"/>
    <col min="13185" max="13185" width="17.140625" style="6" customWidth="1"/>
    <col min="13186" max="13186" width="8.85546875" style="6" customWidth="1"/>
    <col min="13187" max="13205" width="18.7109375" style="6" customWidth="1"/>
    <col min="13206" max="13206" width="17.5703125" style="6" customWidth="1"/>
    <col min="13207" max="13207" width="21.5703125" style="6" customWidth="1"/>
    <col min="13208" max="13208" width="18.42578125" style="6" customWidth="1"/>
    <col min="13209" max="13209" width="20.140625" style="6" customWidth="1"/>
    <col min="13210" max="13210" width="18.7109375" style="6" customWidth="1"/>
    <col min="13211" max="13211" width="17.7109375" style="6" customWidth="1"/>
    <col min="13212" max="13213" width="18.85546875" style="6" customWidth="1"/>
    <col min="13214" max="13214" width="18.28515625" style="6" customWidth="1"/>
    <col min="13215" max="13215" width="20.140625" style="6" customWidth="1"/>
    <col min="13216" max="13216" width="17.140625" style="6" customWidth="1"/>
    <col min="13217" max="13217" width="17.42578125" style="6" customWidth="1"/>
    <col min="13218" max="13218" width="16.28515625" style="6" customWidth="1"/>
    <col min="13219" max="13219" width="19.28515625" style="6" customWidth="1"/>
    <col min="13220" max="13220" width="18" style="6" customWidth="1"/>
    <col min="13221" max="13221" width="18.28515625" style="6" customWidth="1"/>
    <col min="13222" max="13222" width="17.140625" style="6" customWidth="1"/>
    <col min="13223" max="13223" width="16.7109375" style="6" customWidth="1"/>
    <col min="13224" max="13224" width="17.7109375" style="6" customWidth="1"/>
    <col min="13225" max="13225" width="19.28515625" style="6" customWidth="1"/>
    <col min="13226" max="13226" width="17.28515625" style="6" customWidth="1"/>
    <col min="13227" max="13227" width="17.7109375" style="6" customWidth="1"/>
    <col min="13228" max="13228" width="19.7109375" style="6" customWidth="1"/>
    <col min="13229" max="13229" width="17.28515625" style="6" customWidth="1"/>
    <col min="13230" max="13230" width="18.28515625" style="6" customWidth="1"/>
    <col min="13231" max="13231" width="20.85546875" style="6" customWidth="1"/>
    <col min="13232" max="13232" width="17.28515625" style="6" customWidth="1"/>
    <col min="13233" max="13233" width="17.5703125" style="6" customWidth="1"/>
    <col min="13234" max="13234" width="18.42578125" style="6" customWidth="1"/>
    <col min="13235" max="13235" width="18.85546875" style="6" customWidth="1"/>
    <col min="13236" max="13236" width="19.7109375" style="6" customWidth="1"/>
    <col min="13237" max="13237" width="18" style="6" customWidth="1"/>
    <col min="13238" max="13238" width="19.140625" style="6" customWidth="1"/>
    <col min="13239" max="13239" width="19" style="6" customWidth="1"/>
    <col min="13240" max="13240" width="19.28515625" style="6" customWidth="1"/>
    <col min="13241" max="13242" width="19" style="6" customWidth="1"/>
    <col min="13243" max="13243" width="18.28515625" style="6" customWidth="1"/>
    <col min="13244" max="13244" width="19.5703125" style="6" customWidth="1"/>
    <col min="13245" max="13245" width="20.28515625" style="6" customWidth="1"/>
    <col min="13246" max="13246" width="8.7109375" style="6" customWidth="1"/>
    <col min="13247" max="13247" width="20.42578125" style="6" customWidth="1"/>
    <col min="13248" max="13248" width="18.28515625" style="6" customWidth="1"/>
    <col min="13249" max="13249" width="17.85546875" style="6" customWidth="1"/>
    <col min="13250" max="13250" width="19.28515625" style="6" customWidth="1"/>
    <col min="13251" max="13251" width="18.140625" style="6" customWidth="1"/>
    <col min="13252" max="13252" width="17.85546875" style="6" customWidth="1"/>
    <col min="13253" max="13253" width="18" style="6" customWidth="1"/>
    <col min="13254" max="13254" width="18.28515625" style="6" customWidth="1"/>
    <col min="13255" max="13255" width="19.42578125" style="6" customWidth="1"/>
    <col min="13256" max="13256" width="17.85546875" style="6" customWidth="1"/>
    <col min="13257" max="13257" width="18.85546875" style="6" customWidth="1"/>
    <col min="13258" max="13258" width="17.85546875" style="6" customWidth="1"/>
    <col min="13259" max="13259" width="18.5703125" style="6" customWidth="1"/>
    <col min="13260" max="13260" width="19.140625" style="6" customWidth="1"/>
    <col min="13261" max="13261" width="19.42578125" style="6" customWidth="1"/>
    <col min="13262" max="13262" width="17.7109375" style="6" customWidth="1"/>
    <col min="13263" max="13263" width="19.42578125" style="6" customWidth="1"/>
    <col min="13264" max="13264" width="19.28515625" style="6" customWidth="1"/>
    <col min="13265" max="13265" width="19.85546875" style="6" customWidth="1"/>
    <col min="13266" max="13266" width="12" style="6" customWidth="1"/>
    <col min="13267" max="13267" width="18.5703125" style="6" customWidth="1"/>
    <col min="13268" max="13268" width="17.85546875" style="6" customWidth="1"/>
    <col min="13269" max="13269" width="18.85546875" style="6" customWidth="1"/>
    <col min="13270" max="13270" width="19.140625" style="6" customWidth="1"/>
    <col min="13271" max="13271" width="18.85546875" style="6" customWidth="1"/>
    <col min="13272" max="13273" width="17.7109375" style="6" customWidth="1"/>
    <col min="13274" max="13274" width="19.42578125" style="6" customWidth="1"/>
    <col min="13275" max="13275" width="18.5703125" style="6" customWidth="1"/>
    <col min="13276" max="13276" width="17.140625" style="6" customWidth="1"/>
    <col min="13277" max="13277" width="17" style="6" customWidth="1"/>
    <col min="13278" max="13278" width="16.28515625" style="6" customWidth="1"/>
    <col min="13279" max="13279" width="17.85546875" style="6" customWidth="1"/>
    <col min="13280" max="13280" width="18.5703125" style="6" customWidth="1"/>
    <col min="13281" max="13281" width="17.42578125" style="6" customWidth="1"/>
    <col min="13282" max="13282" width="16.5703125" style="6" customWidth="1"/>
    <col min="13283" max="13283" width="17.28515625" style="6" customWidth="1"/>
    <col min="13284" max="13284" width="19" style="6" customWidth="1"/>
    <col min="13285" max="13285" width="18.5703125" style="6" customWidth="1"/>
    <col min="13286" max="13286" width="9.28515625" style="6" customWidth="1"/>
    <col min="13287" max="13287" width="18.7109375" style="6" customWidth="1"/>
    <col min="13288" max="13294" width="18.5703125" style="6" customWidth="1"/>
    <col min="13295" max="13295" width="20.140625" style="6" customWidth="1"/>
    <col min="13296" max="13296" width="18.5703125" style="6" customWidth="1"/>
    <col min="13297" max="13298" width="0" style="6" hidden="1" customWidth="1"/>
    <col min="13299" max="13299" width="18.5703125" style="6" customWidth="1"/>
    <col min="13300" max="13303" width="0" style="6" hidden="1" customWidth="1"/>
    <col min="13304" max="13304" width="15.5703125" style="6" customWidth="1"/>
    <col min="13305" max="13305" width="19" style="6" customWidth="1"/>
    <col min="13306" max="13306" width="18.5703125" style="6" customWidth="1"/>
    <col min="13307" max="13425" width="11.42578125" style="6"/>
    <col min="13426" max="13426" width="44" style="6" customWidth="1"/>
    <col min="13427" max="13429" width="0" style="6" hidden="1" customWidth="1"/>
    <col min="13430" max="13430" width="12.7109375" style="6" customWidth="1"/>
    <col min="13431" max="13431" width="10.28515625" style="6" bestFit="1" customWidth="1"/>
    <col min="13432" max="13432" width="10.28515625" style="6" customWidth="1"/>
    <col min="13433" max="13433" width="9.7109375" style="6" customWidth="1"/>
    <col min="13434" max="13434" width="12.7109375" style="6" customWidth="1"/>
    <col min="13435" max="13435" width="12" style="6" customWidth="1"/>
    <col min="13436" max="13436" width="11.5703125" style="6" customWidth="1"/>
    <col min="13437" max="13437" width="10" style="6" customWidth="1"/>
    <col min="13438" max="13438" width="9" style="6" customWidth="1"/>
    <col min="13439" max="13439" width="8.7109375" style="6" customWidth="1"/>
    <col min="13440" max="13440" width="9.5703125" style="6" customWidth="1"/>
    <col min="13441" max="13441" width="17.140625" style="6" customWidth="1"/>
    <col min="13442" max="13442" width="8.85546875" style="6" customWidth="1"/>
    <col min="13443" max="13461" width="18.7109375" style="6" customWidth="1"/>
    <col min="13462" max="13462" width="17.5703125" style="6" customWidth="1"/>
    <col min="13463" max="13463" width="21.5703125" style="6" customWidth="1"/>
    <col min="13464" max="13464" width="18.42578125" style="6" customWidth="1"/>
    <col min="13465" max="13465" width="20.140625" style="6" customWidth="1"/>
    <col min="13466" max="13466" width="18.7109375" style="6" customWidth="1"/>
    <col min="13467" max="13467" width="17.7109375" style="6" customWidth="1"/>
    <col min="13468" max="13469" width="18.85546875" style="6" customWidth="1"/>
    <col min="13470" max="13470" width="18.28515625" style="6" customWidth="1"/>
    <col min="13471" max="13471" width="20.140625" style="6" customWidth="1"/>
    <col min="13472" max="13472" width="17.140625" style="6" customWidth="1"/>
    <col min="13473" max="13473" width="17.42578125" style="6" customWidth="1"/>
    <col min="13474" max="13474" width="16.28515625" style="6" customWidth="1"/>
    <col min="13475" max="13475" width="19.28515625" style="6" customWidth="1"/>
    <col min="13476" max="13476" width="18" style="6" customWidth="1"/>
    <col min="13477" max="13477" width="18.28515625" style="6" customWidth="1"/>
    <col min="13478" max="13478" width="17.140625" style="6" customWidth="1"/>
    <col min="13479" max="13479" width="16.7109375" style="6" customWidth="1"/>
    <col min="13480" max="13480" width="17.7109375" style="6" customWidth="1"/>
    <col min="13481" max="13481" width="19.28515625" style="6" customWidth="1"/>
    <col min="13482" max="13482" width="17.28515625" style="6" customWidth="1"/>
    <col min="13483" max="13483" width="17.7109375" style="6" customWidth="1"/>
    <col min="13484" max="13484" width="19.7109375" style="6" customWidth="1"/>
    <col min="13485" max="13485" width="17.28515625" style="6" customWidth="1"/>
    <col min="13486" max="13486" width="18.28515625" style="6" customWidth="1"/>
    <col min="13487" max="13487" width="20.85546875" style="6" customWidth="1"/>
    <col min="13488" max="13488" width="17.28515625" style="6" customWidth="1"/>
    <col min="13489" max="13489" width="17.5703125" style="6" customWidth="1"/>
    <col min="13490" max="13490" width="18.42578125" style="6" customWidth="1"/>
    <col min="13491" max="13491" width="18.85546875" style="6" customWidth="1"/>
    <col min="13492" max="13492" width="19.7109375" style="6" customWidth="1"/>
    <col min="13493" max="13493" width="18" style="6" customWidth="1"/>
    <col min="13494" max="13494" width="19.140625" style="6" customWidth="1"/>
    <col min="13495" max="13495" width="19" style="6" customWidth="1"/>
    <col min="13496" max="13496" width="19.28515625" style="6" customWidth="1"/>
    <col min="13497" max="13498" width="19" style="6" customWidth="1"/>
    <col min="13499" max="13499" width="18.28515625" style="6" customWidth="1"/>
    <col min="13500" max="13500" width="19.5703125" style="6" customWidth="1"/>
    <col min="13501" max="13501" width="20.28515625" style="6" customWidth="1"/>
    <col min="13502" max="13502" width="8.7109375" style="6" customWidth="1"/>
    <col min="13503" max="13503" width="20.42578125" style="6" customWidth="1"/>
    <col min="13504" max="13504" width="18.28515625" style="6" customWidth="1"/>
    <col min="13505" max="13505" width="17.85546875" style="6" customWidth="1"/>
    <col min="13506" max="13506" width="19.28515625" style="6" customWidth="1"/>
    <col min="13507" max="13507" width="18.140625" style="6" customWidth="1"/>
    <col min="13508" max="13508" width="17.85546875" style="6" customWidth="1"/>
    <col min="13509" max="13509" width="18" style="6" customWidth="1"/>
    <col min="13510" max="13510" width="18.28515625" style="6" customWidth="1"/>
    <col min="13511" max="13511" width="19.42578125" style="6" customWidth="1"/>
    <col min="13512" max="13512" width="17.85546875" style="6" customWidth="1"/>
    <col min="13513" max="13513" width="18.85546875" style="6" customWidth="1"/>
    <col min="13514" max="13514" width="17.85546875" style="6" customWidth="1"/>
    <col min="13515" max="13515" width="18.5703125" style="6" customWidth="1"/>
    <col min="13516" max="13516" width="19.140625" style="6" customWidth="1"/>
    <col min="13517" max="13517" width="19.42578125" style="6" customWidth="1"/>
    <col min="13518" max="13518" width="17.7109375" style="6" customWidth="1"/>
    <col min="13519" max="13519" width="19.42578125" style="6" customWidth="1"/>
    <col min="13520" max="13520" width="19.28515625" style="6" customWidth="1"/>
    <col min="13521" max="13521" width="19.85546875" style="6" customWidth="1"/>
    <col min="13522" max="13522" width="12" style="6" customWidth="1"/>
    <col min="13523" max="13523" width="18.5703125" style="6" customWidth="1"/>
    <col min="13524" max="13524" width="17.85546875" style="6" customWidth="1"/>
    <col min="13525" max="13525" width="18.85546875" style="6" customWidth="1"/>
    <col min="13526" max="13526" width="19.140625" style="6" customWidth="1"/>
    <col min="13527" max="13527" width="18.85546875" style="6" customWidth="1"/>
    <col min="13528" max="13529" width="17.7109375" style="6" customWidth="1"/>
    <col min="13530" max="13530" width="19.42578125" style="6" customWidth="1"/>
    <col min="13531" max="13531" width="18.5703125" style="6" customWidth="1"/>
    <col min="13532" max="13532" width="17.140625" style="6" customWidth="1"/>
    <col min="13533" max="13533" width="17" style="6" customWidth="1"/>
    <col min="13534" max="13534" width="16.28515625" style="6" customWidth="1"/>
    <col min="13535" max="13535" width="17.85546875" style="6" customWidth="1"/>
    <col min="13536" max="13536" width="18.5703125" style="6" customWidth="1"/>
    <col min="13537" max="13537" width="17.42578125" style="6" customWidth="1"/>
    <col min="13538" max="13538" width="16.5703125" style="6" customWidth="1"/>
    <col min="13539" max="13539" width="17.28515625" style="6" customWidth="1"/>
    <col min="13540" max="13540" width="19" style="6" customWidth="1"/>
    <col min="13541" max="13541" width="18.5703125" style="6" customWidth="1"/>
    <col min="13542" max="13542" width="9.28515625" style="6" customWidth="1"/>
    <col min="13543" max="13543" width="18.7109375" style="6" customWidth="1"/>
    <col min="13544" max="13550" width="18.5703125" style="6" customWidth="1"/>
    <col min="13551" max="13551" width="20.140625" style="6" customWidth="1"/>
    <col min="13552" max="13552" width="18.5703125" style="6" customWidth="1"/>
    <col min="13553" max="13554" width="0" style="6" hidden="1" customWidth="1"/>
    <col min="13555" max="13555" width="18.5703125" style="6" customWidth="1"/>
    <col min="13556" max="13559" width="0" style="6" hidden="1" customWidth="1"/>
    <col min="13560" max="13560" width="15.5703125" style="6" customWidth="1"/>
    <col min="13561" max="13561" width="19" style="6" customWidth="1"/>
    <col min="13562" max="13562" width="18.5703125" style="6" customWidth="1"/>
    <col min="13563" max="13681" width="11.42578125" style="6"/>
    <col min="13682" max="13682" width="44" style="6" customWidth="1"/>
    <col min="13683" max="13685" width="0" style="6" hidden="1" customWidth="1"/>
    <col min="13686" max="13686" width="12.7109375" style="6" customWidth="1"/>
    <col min="13687" max="13687" width="10.28515625" style="6" bestFit="1" customWidth="1"/>
    <col min="13688" max="13688" width="10.28515625" style="6" customWidth="1"/>
    <col min="13689" max="13689" width="9.7109375" style="6" customWidth="1"/>
    <col min="13690" max="13690" width="12.7109375" style="6" customWidth="1"/>
    <col min="13691" max="13691" width="12" style="6" customWidth="1"/>
    <col min="13692" max="13692" width="11.5703125" style="6" customWidth="1"/>
    <col min="13693" max="13693" width="10" style="6" customWidth="1"/>
    <col min="13694" max="13694" width="9" style="6" customWidth="1"/>
    <col min="13695" max="13695" width="8.7109375" style="6" customWidth="1"/>
    <col min="13696" max="13696" width="9.5703125" style="6" customWidth="1"/>
    <col min="13697" max="13697" width="17.140625" style="6" customWidth="1"/>
    <col min="13698" max="13698" width="8.85546875" style="6" customWidth="1"/>
    <col min="13699" max="13717" width="18.7109375" style="6" customWidth="1"/>
    <col min="13718" max="13718" width="17.5703125" style="6" customWidth="1"/>
    <col min="13719" max="13719" width="21.5703125" style="6" customWidth="1"/>
    <col min="13720" max="13720" width="18.42578125" style="6" customWidth="1"/>
    <col min="13721" max="13721" width="20.140625" style="6" customWidth="1"/>
    <col min="13722" max="13722" width="18.7109375" style="6" customWidth="1"/>
    <col min="13723" max="13723" width="17.7109375" style="6" customWidth="1"/>
    <col min="13724" max="13725" width="18.85546875" style="6" customWidth="1"/>
    <col min="13726" max="13726" width="18.28515625" style="6" customWidth="1"/>
    <col min="13727" max="13727" width="20.140625" style="6" customWidth="1"/>
    <col min="13728" max="13728" width="17.140625" style="6" customWidth="1"/>
    <col min="13729" max="13729" width="17.42578125" style="6" customWidth="1"/>
    <col min="13730" max="13730" width="16.28515625" style="6" customWidth="1"/>
    <col min="13731" max="13731" width="19.28515625" style="6" customWidth="1"/>
    <col min="13732" max="13732" width="18" style="6" customWidth="1"/>
    <col min="13733" max="13733" width="18.28515625" style="6" customWidth="1"/>
    <col min="13734" max="13734" width="17.140625" style="6" customWidth="1"/>
    <col min="13735" max="13735" width="16.7109375" style="6" customWidth="1"/>
    <col min="13736" max="13736" width="17.7109375" style="6" customWidth="1"/>
    <col min="13737" max="13737" width="19.28515625" style="6" customWidth="1"/>
    <col min="13738" max="13738" width="17.28515625" style="6" customWidth="1"/>
    <col min="13739" max="13739" width="17.7109375" style="6" customWidth="1"/>
    <col min="13740" max="13740" width="19.7109375" style="6" customWidth="1"/>
    <col min="13741" max="13741" width="17.28515625" style="6" customWidth="1"/>
    <col min="13742" max="13742" width="18.28515625" style="6" customWidth="1"/>
    <col min="13743" max="13743" width="20.85546875" style="6" customWidth="1"/>
    <col min="13744" max="13744" width="17.28515625" style="6" customWidth="1"/>
    <col min="13745" max="13745" width="17.5703125" style="6" customWidth="1"/>
    <col min="13746" max="13746" width="18.42578125" style="6" customWidth="1"/>
    <col min="13747" max="13747" width="18.85546875" style="6" customWidth="1"/>
    <col min="13748" max="13748" width="19.7109375" style="6" customWidth="1"/>
    <col min="13749" max="13749" width="18" style="6" customWidth="1"/>
    <col min="13750" max="13750" width="19.140625" style="6" customWidth="1"/>
    <col min="13751" max="13751" width="19" style="6" customWidth="1"/>
    <col min="13752" max="13752" width="19.28515625" style="6" customWidth="1"/>
    <col min="13753" max="13754" width="19" style="6" customWidth="1"/>
    <col min="13755" max="13755" width="18.28515625" style="6" customWidth="1"/>
    <col min="13756" max="13756" width="19.5703125" style="6" customWidth="1"/>
    <col min="13757" max="13757" width="20.28515625" style="6" customWidth="1"/>
    <col min="13758" max="13758" width="8.7109375" style="6" customWidth="1"/>
    <col min="13759" max="13759" width="20.42578125" style="6" customWidth="1"/>
    <col min="13760" max="13760" width="18.28515625" style="6" customWidth="1"/>
    <col min="13761" max="13761" width="17.85546875" style="6" customWidth="1"/>
    <col min="13762" max="13762" width="19.28515625" style="6" customWidth="1"/>
    <col min="13763" max="13763" width="18.140625" style="6" customWidth="1"/>
    <col min="13764" max="13764" width="17.85546875" style="6" customWidth="1"/>
    <col min="13765" max="13765" width="18" style="6" customWidth="1"/>
    <col min="13766" max="13766" width="18.28515625" style="6" customWidth="1"/>
    <col min="13767" max="13767" width="19.42578125" style="6" customWidth="1"/>
    <col min="13768" max="13768" width="17.85546875" style="6" customWidth="1"/>
    <col min="13769" max="13769" width="18.85546875" style="6" customWidth="1"/>
    <col min="13770" max="13770" width="17.85546875" style="6" customWidth="1"/>
    <col min="13771" max="13771" width="18.5703125" style="6" customWidth="1"/>
    <col min="13772" max="13772" width="19.140625" style="6" customWidth="1"/>
    <col min="13773" max="13773" width="19.42578125" style="6" customWidth="1"/>
    <col min="13774" max="13774" width="17.7109375" style="6" customWidth="1"/>
    <col min="13775" max="13775" width="19.42578125" style="6" customWidth="1"/>
    <col min="13776" max="13776" width="19.28515625" style="6" customWidth="1"/>
    <col min="13777" max="13777" width="19.85546875" style="6" customWidth="1"/>
    <col min="13778" max="13778" width="12" style="6" customWidth="1"/>
    <col min="13779" max="13779" width="18.5703125" style="6" customWidth="1"/>
    <col min="13780" max="13780" width="17.85546875" style="6" customWidth="1"/>
    <col min="13781" max="13781" width="18.85546875" style="6" customWidth="1"/>
    <col min="13782" max="13782" width="19.140625" style="6" customWidth="1"/>
    <col min="13783" max="13783" width="18.85546875" style="6" customWidth="1"/>
    <col min="13784" max="13785" width="17.7109375" style="6" customWidth="1"/>
    <col min="13786" max="13786" width="19.42578125" style="6" customWidth="1"/>
    <col min="13787" max="13787" width="18.5703125" style="6" customWidth="1"/>
    <col min="13788" max="13788" width="17.140625" style="6" customWidth="1"/>
    <col min="13789" max="13789" width="17" style="6" customWidth="1"/>
    <col min="13790" max="13790" width="16.28515625" style="6" customWidth="1"/>
    <col min="13791" max="13791" width="17.85546875" style="6" customWidth="1"/>
    <col min="13792" max="13792" width="18.5703125" style="6" customWidth="1"/>
    <col min="13793" max="13793" width="17.42578125" style="6" customWidth="1"/>
    <col min="13794" max="13794" width="16.5703125" style="6" customWidth="1"/>
    <col min="13795" max="13795" width="17.28515625" style="6" customWidth="1"/>
    <col min="13796" max="13796" width="19" style="6" customWidth="1"/>
    <col min="13797" max="13797" width="18.5703125" style="6" customWidth="1"/>
    <col min="13798" max="13798" width="9.28515625" style="6" customWidth="1"/>
    <col min="13799" max="13799" width="18.7109375" style="6" customWidth="1"/>
    <col min="13800" max="13806" width="18.5703125" style="6" customWidth="1"/>
    <col min="13807" max="13807" width="20.140625" style="6" customWidth="1"/>
    <col min="13808" max="13808" width="18.5703125" style="6" customWidth="1"/>
    <col min="13809" max="13810" width="0" style="6" hidden="1" customWidth="1"/>
    <col min="13811" max="13811" width="18.5703125" style="6" customWidth="1"/>
    <col min="13812" max="13815" width="0" style="6" hidden="1" customWidth="1"/>
    <col min="13816" max="13816" width="15.5703125" style="6" customWidth="1"/>
    <col min="13817" max="13817" width="19" style="6" customWidth="1"/>
    <col min="13818" max="13818" width="18.5703125" style="6" customWidth="1"/>
    <col min="13819" max="13937" width="11.42578125" style="6"/>
    <col min="13938" max="13938" width="44" style="6" customWidth="1"/>
    <col min="13939" max="13941" width="0" style="6" hidden="1" customWidth="1"/>
    <col min="13942" max="13942" width="12.7109375" style="6" customWidth="1"/>
    <col min="13943" max="13943" width="10.28515625" style="6" bestFit="1" customWidth="1"/>
    <col min="13944" max="13944" width="10.28515625" style="6" customWidth="1"/>
    <col min="13945" max="13945" width="9.7109375" style="6" customWidth="1"/>
    <col min="13946" max="13946" width="12.7109375" style="6" customWidth="1"/>
    <col min="13947" max="13947" width="12" style="6" customWidth="1"/>
    <col min="13948" max="13948" width="11.5703125" style="6" customWidth="1"/>
    <col min="13949" max="13949" width="10" style="6" customWidth="1"/>
    <col min="13950" max="13950" width="9" style="6" customWidth="1"/>
    <col min="13951" max="13951" width="8.7109375" style="6" customWidth="1"/>
    <col min="13952" max="13952" width="9.5703125" style="6" customWidth="1"/>
    <col min="13953" max="13953" width="17.140625" style="6" customWidth="1"/>
    <col min="13954" max="13954" width="8.85546875" style="6" customWidth="1"/>
    <col min="13955" max="13973" width="18.7109375" style="6" customWidth="1"/>
    <col min="13974" max="13974" width="17.5703125" style="6" customWidth="1"/>
    <col min="13975" max="13975" width="21.5703125" style="6" customWidth="1"/>
    <col min="13976" max="13976" width="18.42578125" style="6" customWidth="1"/>
    <col min="13977" max="13977" width="20.140625" style="6" customWidth="1"/>
    <col min="13978" max="13978" width="18.7109375" style="6" customWidth="1"/>
    <col min="13979" max="13979" width="17.7109375" style="6" customWidth="1"/>
    <col min="13980" max="13981" width="18.85546875" style="6" customWidth="1"/>
    <col min="13982" max="13982" width="18.28515625" style="6" customWidth="1"/>
    <col min="13983" max="13983" width="20.140625" style="6" customWidth="1"/>
    <col min="13984" max="13984" width="17.140625" style="6" customWidth="1"/>
    <col min="13985" max="13985" width="17.42578125" style="6" customWidth="1"/>
    <col min="13986" max="13986" width="16.28515625" style="6" customWidth="1"/>
    <col min="13987" max="13987" width="19.28515625" style="6" customWidth="1"/>
    <col min="13988" max="13988" width="18" style="6" customWidth="1"/>
    <col min="13989" max="13989" width="18.28515625" style="6" customWidth="1"/>
    <col min="13990" max="13990" width="17.140625" style="6" customWidth="1"/>
    <col min="13991" max="13991" width="16.7109375" style="6" customWidth="1"/>
    <col min="13992" max="13992" width="17.7109375" style="6" customWidth="1"/>
    <col min="13993" max="13993" width="19.28515625" style="6" customWidth="1"/>
    <col min="13994" max="13994" width="17.28515625" style="6" customWidth="1"/>
    <col min="13995" max="13995" width="17.7109375" style="6" customWidth="1"/>
    <col min="13996" max="13996" width="19.7109375" style="6" customWidth="1"/>
    <col min="13997" max="13997" width="17.28515625" style="6" customWidth="1"/>
    <col min="13998" max="13998" width="18.28515625" style="6" customWidth="1"/>
    <col min="13999" max="13999" width="20.85546875" style="6" customWidth="1"/>
    <col min="14000" max="14000" width="17.28515625" style="6" customWidth="1"/>
    <col min="14001" max="14001" width="17.5703125" style="6" customWidth="1"/>
    <col min="14002" max="14002" width="18.42578125" style="6" customWidth="1"/>
    <col min="14003" max="14003" width="18.85546875" style="6" customWidth="1"/>
    <col min="14004" max="14004" width="19.7109375" style="6" customWidth="1"/>
    <col min="14005" max="14005" width="18" style="6" customWidth="1"/>
    <col min="14006" max="14006" width="19.140625" style="6" customWidth="1"/>
    <col min="14007" max="14007" width="19" style="6" customWidth="1"/>
    <col min="14008" max="14008" width="19.28515625" style="6" customWidth="1"/>
    <col min="14009" max="14010" width="19" style="6" customWidth="1"/>
    <col min="14011" max="14011" width="18.28515625" style="6" customWidth="1"/>
    <col min="14012" max="14012" width="19.5703125" style="6" customWidth="1"/>
    <col min="14013" max="14013" width="20.28515625" style="6" customWidth="1"/>
    <col min="14014" max="14014" width="8.7109375" style="6" customWidth="1"/>
    <col min="14015" max="14015" width="20.42578125" style="6" customWidth="1"/>
    <col min="14016" max="14016" width="18.28515625" style="6" customWidth="1"/>
    <col min="14017" max="14017" width="17.85546875" style="6" customWidth="1"/>
    <col min="14018" max="14018" width="19.28515625" style="6" customWidth="1"/>
    <col min="14019" max="14019" width="18.140625" style="6" customWidth="1"/>
    <col min="14020" max="14020" width="17.85546875" style="6" customWidth="1"/>
    <col min="14021" max="14021" width="18" style="6" customWidth="1"/>
    <col min="14022" max="14022" width="18.28515625" style="6" customWidth="1"/>
    <col min="14023" max="14023" width="19.42578125" style="6" customWidth="1"/>
    <col min="14024" max="14024" width="17.85546875" style="6" customWidth="1"/>
    <col min="14025" max="14025" width="18.85546875" style="6" customWidth="1"/>
    <col min="14026" max="14026" width="17.85546875" style="6" customWidth="1"/>
    <col min="14027" max="14027" width="18.5703125" style="6" customWidth="1"/>
    <col min="14028" max="14028" width="19.140625" style="6" customWidth="1"/>
    <col min="14029" max="14029" width="19.42578125" style="6" customWidth="1"/>
    <col min="14030" max="14030" width="17.7109375" style="6" customWidth="1"/>
    <col min="14031" max="14031" width="19.42578125" style="6" customWidth="1"/>
    <col min="14032" max="14032" width="19.28515625" style="6" customWidth="1"/>
    <col min="14033" max="14033" width="19.85546875" style="6" customWidth="1"/>
    <col min="14034" max="14034" width="12" style="6" customWidth="1"/>
    <col min="14035" max="14035" width="18.5703125" style="6" customWidth="1"/>
    <col min="14036" max="14036" width="17.85546875" style="6" customWidth="1"/>
    <col min="14037" max="14037" width="18.85546875" style="6" customWidth="1"/>
    <col min="14038" max="14038" width="19.140625" style="6" customWidth="1"/>
    <col min="14039" max="14039" width="18.85546875" style="6" customWidth="1"/>
    <col min="14040" max="14041" width="17.7109375" style="6" customWidth="1"/>
    <col min="14042" max="14042" width="19.42578125" style="6" customWidth="1"/>
    <col min="14043" max="14043" width="18.5703125" style="6" customWidth="1"/>
    <col min="14044" max="14044" width="17.140625" style="6" customWidth="1"/>
    <col min="14045" max="14045" width="17" style="6" customWidth="1"/>
    <col min="14046" max="14046" width="16.28515625" style="6" customWidth="1"/>
    <col min="14047" max="14047" width="17.85546875" style="6" customWidth="1"/>
    <col min="14048" max="14048" width="18.5703125" style="6" customWidth="1"/>
    <col min="14049" max="14049" width="17.42578125" style="6" customWidth="1"/>
    <col min="14050" max="14050" width="16.5703125" style="6" customWidth="1"/>
    <col min="14051" max="14051" width="17.28515625" style="6" customWidth="1"/>
    <col min="14052" max="14052" width="19" style="6" customWidth="1"/>
    <col min="14053" max="14053" width="18.5703125" style="6" customWidth="1"/>
    <col min="14054" max="14054" width="9.28515625" style="6" customWidth="1"/>
    <col min="14055" max="14055" width="18.7109375" style="6" customWidth="1"/>
    <col min="14056" max="14062" width="18.5703125" style="6" customWidth="1"/>
    <col min="14063" max="14063" width="20.140625" style="6" customWidth="1"/>
    <col min="14064" max="14064" width="18.5703125" style="6" customWidth="1"/>
    <col min="14065" max="14066" width="0" style="6" hidden="1" customWidth="1"/>
    <col min="14067" max="14067" width="18.5703125" style="6" customWidth="1"/>
    <col min="14068" max="14071" width="0" style="6" hidden="1" customWidth="1"/>
    <col min="14072" max="14072" width="15.5703125" style="6" customWidth="1"/>
    <col min="14073" max="14073" width="19" style="6" customWidth="1"/>
    <col min="14074" max="14074" width="18.5703125" style="6" customWidth="1"/>
    <col min="14075" max="14193" width="11.42578125" style="6"/>
    <col min="14194" max="14194" width="44" style="6" customWidth="1"/>
    <col min="14195" max="14197" width="0" style="6" hidden="1" customWidth="1"/>
    <col min="14198" max="14198" width="12.7109375" style="6" customWidth="1"/>
    <col min="14199" max="14199" width="10.28515625" style="6" bestFit="1" customWidth="1"/>
    <col min="14200" max="14200" width="10.28515625" style="6" customWidth="1"/>
    <col min="14201" max="14201" width="9.7109375" style="6" customWidth="1"/>
    <col min="14202" max="14202" width="12.7109375" style="6" customWidth="1"/>
    <col min="14203" max="14203" width="12" style="6" customWidth="1"/>
    <col min="14204" max="14204" width="11.5703125" style="6" customWidth="1"/>
    <col min="14205" max="14205" width="10" style="6" customWidth="1"/>
    <col min="14206" max="14206" width="9" style="6" customWidth="1"/>
    <col min="14207" max="14207" width="8.7109375" style="6" customWidth="1"/>
    <col min="14208" max="14208" width="9.5703125" style="6" customWidth="1"/>
    <col min="14209" max="14209" width="17.140625" style="6" customWidth="1"/>
    <col min="14210" max="14210" width="8.85546875" style="6" customWidth="1"/>
    <col min="14211" max="14229" width="18.7109375" style="6" customWidth="1"/>
    <col min="14230" max="14230" width="17.5703125" style="6" customWidth="1"/>
    <col min="14231" max="14231" width="21.5703125" style="6" customWidth="1"/>
    <col min="14232" max="14232" width="18.42578125" style="6" customWidth="1"/>
    <col min="14233" max="14233" width="20.140625" style="6" customWidth="1"/>
    <col min="14234" max="14234" width="18.7109375" style="6" customWidth="1"/>
    <col min="14235" max="14235" width="17.7109375" style="6" customWidth="1"/>
    <col min="14236" max="14237" width="18.85546875" style="6" customWidth="1"/>
    <col min="14238" max="14238" width="18.28515625" style="6" customWidth="1"/>
    <col min="14239" max="14239" width="20.140625" style="6" customWidth="1"/>
    <col min="14240" max="14240" width="17.140625" style="6" customWidth="1"/>
    <col min="14241" max="14241" width="17.42578125" style="6" customWidth="1"/>
    <col min="14242" max="14242" width="16.28515625" style="6" customWidth="1"/>
    <col min="14243" max="14243" width="19.28515625" style="6" customWidth="1"/>
    <col min="14244" max="14244" width="18" style="6" customWidth="1"/>
    <col min="14245" max="14245" width="18.28515625" style="6" customWidth="1"/>
    <col min="14246" max="14246" width="17.140625" style="6" customWidth="1"/>
    <col min="14247" max="14247" width="16.7109375" style="6" customWidth="1"/>
    <col min="14248" max="14248" width="17.7109375" style="6" customWidth="1"/>
    <col min="14249" max="14249" width="19.28515625" style="6" customWidth="1"/>
    <col min="14250" max="14250" width="17.28515625" style="6" customWidth="1"/>
    <col min="14251" max="14251" width="17.7109375" style="6" customWidth="1"/>
    <col min="14252" max="14252" width="19.7109375" style="6" customWidth="1"/>
    <col min="14253" max="14253" width="17.28515625" style="6" customWidth="1"/>
    <col min="14254" max="14254" width="18.28515625" style="6" customWidth="1"/>
    <col min="14255" max="14255" width="20.85546875" style="6" customWidth="1"/>
    <col min="14256" max="14256" width="17.28515625" style="6" customWidth="1"/>
    <col min="14257" max="14257" width="17.5703125" style="6" customWidth="1"/>
    <col min="14258" max="14258" width="18.42578125" style="6" customWidth="1"/>
    <col min="14259" max="14259" width="18.85546875" style="6" customWidth="1"/>
    <col min="14260" max="14260" width="19.7109375" style="6" customWidth="1"/>
    <col min="14261" max="14261" width="18" style="6" customWidth="1"/>
    <col min="14262" max="14262" width="19.140625" style="6" customWidth="1"/>
    <col min="14263" max="14263" width="19" style="6" customWidth="1"/>
    <col min="14264" max="14264" width="19.28515625" style="6" customWidth="1"/>
    <col min="14265" max="14266" width="19" style="6" customWidth="1"/>
    <col min="14267" max="14267" width="18.28515625" style="6" customWidth="1"/>
    <col min="14268" max="14268" width="19.5703125" style="6" customWidth="1"/>
    <col min="14269" max="14269" width="20.28515625" style="6" customWidth="1"/>
    <col min="14270" max="14270" width="8.7109375" style="6" customWidth="1"/>
    <col min="14271" max="14271" width="20.42578125" style="6" customWidth="1"/>
    <col min="14272" max="14272" width="18.28515625" style="6" customWidth="1"/>
    <col min="14273" max="14273" width="17.85546875" style="6" customWidth="1"/>
    <col min="14274" max="14274" width="19.28515625" style="6" customWidth="1"/>
    <col min="14275" max="14275" width="18.140625" style="6" customWidth="1"/>
    <col min="14276" max="14276" width="17.85546875" style="6" customWidth="1"/>
    <col min="14277" max="14277" width="18" style="6" customWidth="1"/>
    <col min="14278" max="14278" width="18.28515625" style="6" customWidth="1"/>
    <col min="14279" max="14279" width="19.42578125" style="6" customWidth="1"/>
    <col min="14280" max="14280" width="17.85546875" style="6" customWidth="1"/>
    <col min="14281" max="14281" width="18.85546875" style="6" customWidth="1"/>
    <col min="14282" max="14282" width="17.85546875" style="6" customWidth="1"/>
    <col min="14283" max="14283" width="18.5703125" style="6" customWidth="1"/>
    <col min="14284" max="14284" width="19.140625" style="6" customWidth="1"/>
    <col min="14285" max="14285" width="19.42578125" style="6" customWidth="1"/>
    <col min="14286" max="14286" width="17.7109375" style="6" customWidth="1"/>
    <col min="14287" max="14287" width="19.42578125" style="6" customWidth="1"/>
    <col min="14288" max="14288" width="19.28515625" style="6" customWidth="1"/>
    <col min="14289" max="14289" width="19.85546875" style="6" customWidth="1"/>
    <col min="14290" max="14290" width="12" style="6" customWidth="1"/>
    <col min="14291" max="14291" width="18.5703125" style="6" customWidth="1"/>
    <col min="14292" max="14292" width="17.85546875" style="6" customWidth="1"/>
    <col min="14293" max="14293" width="18.85546875" style="6" customWidth="1"/>
    <col min="14294" max="14294" width="19.140625" style="6" customWidth="1"/>
    <col min="14295" max="14295" width="18.85546875" style="6" customWidth="1"/>
    <col min="14296" max="14297" width="17.7109375" style="6" customWidth="1"/>
    <col min="14298" max="14298" width="19.42578125" style="6" customWidth="1"/>
    <col min="14299" max="14299" width="18.5703125" style="6" customWidth="1"/>
    <col min="14300" max="14300" width="17.140625" style="6" customWidth="1"/>
    <col min="14301" max="14301" width="17" style="6" customWidth="1"/>
    <col min="14302" max="14302" width="16.28515625" style="6" customWidth="1"/>
    <col min="14303" max="14303" width="17.85546875" style="6" customWidth="1"/>
    <col min="14304" max="14304" width="18.5703125" style="6" customWidth="1"/>
    <col min="14305" max="14305" width="17.42578125" style="6" customWidth="1"/>
    <col min="14306" max="14306" width="16.5703125" style="6" customWidth="1"/>
    <col min="14307" max="14307" width="17.28515625" style="6" customWidth="1"/>
    <col min="14308" max="14308" width="19" style="6" customWidth="1"/>
    <col min="14309" max="14309" width="18.5703125" style="6" customWidth="1"/>
    <col min="14310" max="14310" width="9.28515625" style="6" customWidth="1"/>
    <col min="14311" max="14311" width="18.7109375" style="6" customWidth="1"/>
    <col min="14312" max="14318" width="18.5703125" style="6" customWidth="1"/>
    <col min="14319" max="14319" width="20.140625" style="6" customWidth="1"/>
    <col min="14320" max="14320" width="18.5703125" style="6" customWidth="1"/>
    <col min="14321" max="14322" width="0" style="6" hidden="1" customWidth="1"/>
    <col min="14323" max="14323" width="18.5703125" style="6" customWidth="1"/>
    <col min="14324" max="14327" width="0" style="6" hidden="1" customWidth="1"/>
    <col min="14328" max="14328" width="15.5703125" style="6" customWidth="1"/>
    <col min="14329" max="14329" width="19" style="6" customWidth="1"/>
    <col min="14330" max="14330" width="18.5703125" style="6" customWidth="1"/>
    <col min="14331" max="14449" width="11.42578125" style="6"/>
    <col min="14450" max="14450" width="44" style="6" customWidth="1"/>
    <col min="14451" max="14453" width="0" style="6" hidden="1" customWidth="1"/>
    <col min="14454" max="14454" width="12.7109375" style="6" customWidth="1"/>
    <col min="14455" max="14455" width="10.28515625" style="6" bestFit="1" customWidth="1"/>
    <col min="14456" max="14456" width="10.28515625" style="6" customWidth="1"/>
    <col min="14457" max="14457" width="9.7109375" style="6" customWidth="1"/>
    <col min="14458" max="14458" width="12.7109375" style="6" customWidth="1"/>
    <col min="14459" max="14459" width="12" style="6" customWidth="1"/>
    <col min="14460" max="14460" width="11.5703125" style="6" customWidth="1"/>
    <col min="14461" max="14461" width="10" style="6" customWidth="1"/>
    <col min="14462" max="14462" width="9" style="6" customWidth="1"/>
    <col min="14463" max="14463" width="8.7109375" style="6" customWidth="1"/>
    <col min="14464" max="14464" width="9.5703125" style="6" customWidth="1"/>
    <col min="14465" max="14465" width="17.140625" style="6" customWidth="1"/>
    <col min="14466" max="14466" width="8.85546875" style="6" customWidth="1"/>
    <col min="14467" max="14485" width="18.7109375" style="6" customWidth="1"/>
    <col min="14486" max="14486" width="17.5703125" style="6" customWidth="1"/>
    <col min="14487" max="14487" width="21.5703125" style="6" customWidth="1"/>
    <col min="14488" max="14488" width="18.42578125" style="6" customWidth="1"/>
    <col min="14489" max="14489" width="20.140625" style="6" customWidth="1"/>
    <col min="14490" max="14490" width="18.7109375" style="6" customWidth="1"/>
    <col min="14491" max="14491" width="17.7109375" style="6" customWidth="1"/>
    <col min="14492" max="14493" width="18.85546875" style="6" customWidth="1"/>
    <col min="14494" max="14494" width="18.28515625" style="6" customWidth="1"/>
    <col min="14495" max="14495" width="20.140625" style="6" customWidth="1"/>
    <col min="14496" max="14496" width="17.140625" style="6" customWidth="1"/>
    <col min="14497" max="14497" width="17.42578125" style="6" customWidth="1"/>
    <col min="14498" max="14498" width="16.28515625" style="6" customWidth="1"/>
    <col min="14499" max="14499" width="19.28515625" style="6" customWidth="1"/>
    <col min="14500" max="14500" width="18" style="6" customWidth="1"/>
    <col min="14501" max="14501" width="18.28515625" style="6" customWidth="1"/>
    <col min="14502" max="14502" width="17.140625" style="6" customWidth="1"/>
    <col min="14503" max="14503" width="16.7109375" style="6" customWidth="1"/>
    <col min="14504" max="14504" width="17.7109375" style="6" customWidth="1"/>
    <col min="14505" max="14505" width="19.28515625" style="6" customWidth="1"/>
    <col min="14506" max="14506" width="17.28515625" style="6" customWidth="1"/>
    <col min="14507" max="14507" width="17.7109375" style="6" customWidth="1"/>
    <col min="14508" max="14508" width="19.7109375" style="6" customWidth="1"/>
    <col min="14509" max="14509" width="17.28515625" style="6" customWidth="1"/>
    <col min="14510" max="14510" width="18.28515625" style="6" customWidth="1"/>
    <col min="14511" max="14511" width="20.85546875" style="6" customWidth="1"/>
    <col min="14512" max="14512" width="17.28515625" style="6" customWidth="1"/>
    <col min="14513" max="14513" width="17.5703125" style="6" customWidth="1"/>
    <col min="14514" max="14514" width="18.42578125" style="6" customWidth="1"/>
    <col min="14515" max="14515" width="18.85546875" style="6" customWidth="1"/>
    <col min="14516" max="14516" width="19.7109375" style="6" customWidth="1"/>
    <col min="14517" max="14517" width="18" style="6" customWidth="1"/>
    <col min="14518" max="14518" width="19.140625" style="6" customWidth="1"/>
    <col min="14519" max="14519" width="19" style="6" customWidth="1"/>
    <col min="14520" max="14520" width="19.28515625" style="6" customWidth="1"/>
    <col min="14521" max="14522" width="19" style="6" customWidth="1"/>
    <col min="14523" max="14523" width="18.28515625" style="6" customWidth="1"/>
    <col min="14524" max="14524" width="19.5703125" style="6" customWidth="1"/>
    <col min="14525" max="14525" width="20.28515625" style="6" customWidth="1"/>
    <col min="14526" max="14526" width="8.7109375" style="6" customWidth="1"/>
    <col min="14527" max="14527" width="20.42578125" style="6" customWidth="1"/>
    <col min="14528" max="14528" width="18.28515625" style="6" customWidth="1"/>
    <col min="14529" max="14529" width="17.85546875" style="6" customWidth="1"/>
    <col min="14530" max="14530" width="19.28515625" style="6" customWidth="1"/>
    <col min="14531" max="14531" width="18.140625" style="6" customWidth="1"/>
    <col min="14532" max="14532" width="17.85546875" style="6" customWidth="1"/>
    <col min="14533" max="14533" width="18" style="6" customWidth="1"/>
    <col min="14534" max="14534" width="18.28515625" style="6" customWidth="1"/>
    <col min="14535" max="14535" width="19.42578125" style="6" customWidth="1"/>
    <col min="14536" max="14536" width="17.85546875" style="6" customWidth="1"/>
    <col min="14537" max="14537" width="18.85546875" style="6" customWidth="1"/>
    <col min="14538" max="14538" width="17.85546875" style="6" customWidth="1"/>
    <col min="14539" max="14539" width="18.5703125" style="6" customWidth="1"/>
    <col min="14540" max="14540" width="19.140625" style="6" customWidth="1"/>
    <col min="14541" max="14541" width="19.42578125" style="6" customWidth="1"/>
    <col min="14542" max="14542" width="17.7109375" style="6" customWidth="1"/>
    <col min="14543" max="14543" width="19.42578125" style="6" customWidth="1"/>
    <col min="14544" max="14544" width="19.28515625" style="6" customWidth="1"/>
    <col min="14545" max="14545" width="19.85546875" style="6" customWidth="1"/>
    <col min="14546" max="14546" width="12" style="6" customWidth="1"/>
    <col min="14547" max="14547" width="18.5703125" style="6" customWidth="1"/>
    <col min="14548" max="14548" width="17.85546875" style="6" customWidth="1"/>
    <col min="14549" max="14549" width="18.85546875" style="6" customWidth="1"/>
    <col min="14550" max="14550" width="19.140625" style="6" customWidth="1"/>
    <col min="14551" max="14551" width="18.85546875" style="6" customWidth="1"/>
    <col min="14552" max="14553" width="17.7109375" style="6" customWidth="1"/>
    <col min="14554" max="14554" width="19.42578125" style="6" customWidth="1"/>
    <col min="14555" max="14555" width="18.5703125" style="6" customWidth="1"/>
    <col min="14556" max="14556" width="17.140625" style="6" customWidth="1"/>
    <col min="14557" max="14557" width="17" style="6" customWidth="1"/>
    <col min="14558" max="14558" width="16.28515625" style="6" customWidth="1"/>
    <col min="14559" max="14559" width="17.85546875" style="6" customWidth="1"/>
    <col min="14560" max="14560" width="18.5703125" style="6" customWidth="1"/>
    <col min="14561" max="14561" width="17.42578125" style="6" customWidth="1"/>
    <col min="14562" max="14562" width="16.5703125" style="6" customWidth="1"/>
    <col min="14563" max="14563" width="17.28515625" style="6" customWidth="1"/>
    <col min="14564" max="14564" width="19" style="6" customWidth="1"/>
    <col min="14565" max="14565" width="18.5703125" style="6" customWidth="1"/>
    <col min="14566" max="14566" width="9.28515625" style="6" customWidth="1"/>
    <col min="14567" max="14567" width="18.7109375" style="6" customWidth="1"/>
    <col min="14568" max="14574" width="18.5703125" style="6" customWidth="1"/>
    <col min="14575" max="14575" width="20.140625" style="6" customWidth="1"/>
    <col min="14576" max="14576" width="18.5703125" style="6" customWidth="1"/>
    <col min="14577" max="14578" width="0" style="6" hidden="1" customWidth="1"/>
    <col min="14579" max="14579" width="18.5703125" style="6" customWidth="1"/>
    <col min="14580" max="14583" width="0" style="6" hidden="1" customWidth="1"/>
    <col min="14584" max="14584" width="15.5703125" style="6" customWidth="1"/>
    <col min="14585" max="14585" width="19" style="6" customWidth="1"/>
    <col min="14586" max="14586" width="18.5703125" style="6" customWidth="1"/>
    <col min="14587" max="14705" width="11.42578125" style="6"/>
    <col min="14706" max="14706" width="44" style="6" customWidth="1"/>
    <col min="14707" max="14709" width="0" style="6" hidden="1" customWidth="1"/>
    <col min="14710" max="14710" width="12.7109375" style="6" customWidth="1"/>
    <col min="14711" max="14711" width="10.28515625" style="6" bestFit="1" customWidth="1"/>
    <col min="14712" max="14712" width="10.28515625" style="6" customWidth="1"/>
    <col min="14713" max="14713" width="9.7109375" style="6" customWidth="1"/>
    <col min="14714" max="14714" width="12.7109375" style="6" customWidth="1"/>
    <col min="14715" max="14715" width="12" style="6" customWidth="1"/>
    <col min="14716" max="14716" width="11.5703125" style="6" customWidth="1"/>
    <col min="14717" max="14717" width="10" style="6" customWidth="1"/>
    <col min="14718" max="14718" width="9" style="6" customWidth="1"/>
    <col min="14719" max="14719" width="8.7109375" style="6" customWidth="1"/>
    <col min="14720" max="14720" width="9.5703125" style="6" customWidth="1"/>
    <col min="14721" max="14721" width="17.140625" style="6" customWidth="1"/>
    <col min="14722" max="14722" width="8.85546875" style="6" customWidth="1"/>
    <col min="14723" max="14741" width="18.7109375" style="6" customWidth="1"/>
    <col min="14742" max="14742" width="17.5703125" style="6" customWidth="1"/>
    <col min="14743" max="14743" width="21.5703125" style="6" customWidth="1"/>
    <col min="14744" max="14744" width="18.42578125" style="6" customWidth="1"/>
    <col min="14745" max="14745" width="20.140625" style="6" customWidth="1"/>
    <col min="14746" max="14746" width="18.7109375" style="6" customWidth="1"/>
    <col min="14747" max="14747" width="17.7109375" style="6" customWidth="1"/>
    <col min="14748" max="14749" width="18.85546875" style="6" customWidth="1"/>
    <col min="14750" max="14750" width="18.28515625" style="6" customWidth="1"/>
    <col min="14751" max="14751" width="20.140625" style="6" customWidth="1"/>
    <col min="14752" max="14752" width="17.140625" style="6" customWidth="1"/>
    <col min="14753" max="14753" width="17.42578125" style="6" customWidth="1"/>
    <col min="14754" max="14754" width="16.28515625" style="6" customWidth="1"/>
    <col min="14755" max="14755" width="19.28515625" style="6" customWidth="1"/>
    <col min="14756" max="14756" width="18" style="6" customWidth="1"/>
    <col min="14757" max="14757" width="18.28515625" style="6" customWidth="1"/>
    <col min="14758" max="14758" width="17.140625" style="6" customWidth="1"/>
    <col min="14759" max="14759" width="16.7109375" style="6" customWidth="1"/>
    <col min="14760" max="14760" width="17.7109375" style="6" customWidth="1"/>
    <col min="14761" max="14761" width="19.28515625" style="6" customWidth="1"/>
    <col min="14762" max="14762" width="17.28515625" style="6" customWidth="1"/>
    <col min="14763" max="14763" width="17.7109375" style="6" customWidth="1"/>
    <col min="14764" max="14764" width="19.7109375" style="6" customWidth="1"/>
    <col min="14765" max="14765" width="17.28515625" style="6" customWidth="1"/>
    <col min="14766" max="14766" width="18.28515625" style="6" customWidth="1"/>
    <col min="14767" max="14767" width="20.85546875" style="6" customWidth="1"/>
    <col min="14768" max="14768" width="17.28515625" style="6" customWidth="1"/>
    <col min="14769" max="14769" width="17.5703125" style="6" customWidth="1"/>
    <col min="14770" max="14770" width="18.42578125" style="6" customWidth="1"/>
    <col min="14771" max="14771" width="18.85546875" style="6" customWidth="1"/>
    <col min="14772" max="14772" width="19.7109375" style="6" customWidth="1"/>
    <col min="14773" max="14773" width="18" style="6" customWidth="1"/>
    <col min="14774" max="14774" width="19.140625" style="6" customWidth="1"/>
    <col min="14775" max="14775" width="19" style="6" customWidth="1"/>
    <col min="14776" max="14776" width="19.28515625" style="6" customWidth="1"/>
    <col min="14777" max="14778" width="19" style="6" customWidth="1"/>
    <col min="14779" max="14779" width="18.28515625" style="6" customWidth="1"/>
    <col min="14780" max="14780" width="19.5703125" style="6" customWidth="1"/>
    <col min="14781" max="14781" width="20.28515625" style="6" customWidth="1"/>
    <col min="14782" max="14782" width="8.7109375" style="6" customWidth="1"/>
    <col min="14783" max="14783" width="20.42578125" style="6" customWidth="1"/>
    <col min="14784" max="14784" width="18.28515625" style="6" customWidth="1"/>
    <col min="14785" max="14785" width="17.85546875" style="6" customWidth="1"/>
    <col min="14786" max="14786" width="19.28515625" style="6" customWidth="1"/>
    <col min="14787" max="14787" width="18.140625" style="6" customWidth="1"/>
    <col min="14788" max="14788" width="17.85546875" style="6" customWidth="1"/>
    <col min="14789" max="14789" width="18" style="6" customWidth="1"/>
    <col min="14790" max="14790" width="18.28515625" style="6" customWidth="1"/>
    <col min="14791" max="14791" width="19.42578125" style="6" customWidth="1"/>
    <col min="14792" max="14792" width="17.85546875" style="6" customWidth="1"/>
    <col min="14793" max="14793" width="18.85546875" style="6" customWidth="1"/>
    <col min="14794" max="14794" width="17.85546875" style="6" customWidth="1"/>
    <col min="14795" max="14795" width="18.5703125" style="6" customWidth="1"/>
    <col min="14796" max="14796" width="19.140625" style="6" customWidth="1"/>
    <col min="14797" max="14797" width="19.42578125" style="6" customWidth="1"/>
    <col min="14798" max="14798" width="17.7109375" style="6" customWidth="1"/>
    <col min="14799" max="14799" width="19.42578125" style="6" customWidth="1"/>
    <col min="14800" max="14800" width="19.28515625" style="6" customWidth="1"/>
    <col min="14801" max="14801" width="19.85546875" style="6" customWidth="1"/>
    <col min="14802" max="14802" width="12" style="6" customWidth="1"/>
    <col min="14803" max="14803" width="18.5703125" style="6" customWidth="1"/>
    <col min="14804" max="14804" width="17.85546875" style="6" customWidth="1"/>
    <col min="14805" max="14805" width="18.85546875" style="6" customWidth="1"/>
    <col min="14806" max="14806" width="19.140625" style="6" customWidth="1"/>
    <col min="14807" max="14807" width="18.85546875" style="6" customWidth="1"/>
    <col min="14808" max="14809" width="17.7109375" style="6" customWidth="1"/>
    <col min="14810" max="14810" width="19.42578125" style="6" customWidth="1"/>
    <col min="14811" max="14811" width="18.5703125" style="6" customWidth="1"/>
    <col min="14812" max="14812" width="17.140625" style="6" customWidth="1"/>
    <col min="14813" max="14813" width="17" style="6" customWidth="1"/>
    <col min="14814" max="14814" width="16.28515625" style="6" customWidth="1"/>
    <col min="14815" max="14815" width="17.85546875" style="6" customWidth="1"/>
    <col min="14816" max="14816" width="18.5703125" style="6" customWidth="1"/>
    <col min="14817" max="14817" width="17.42578125" style="6" customWidth="1"/>
    <col min="14818" max="14818" width="16.5703125" style="6" customWidth="1"/>
    <col min="14819" max="14819" width="17.28515625" style="6" customWidth="1"/>
    <col min="14820" max="14820" width="19" style="6" customWidth="1"/>
    <col min="14821" max="14821" width="18.5703125" style="6" customWidth="1"/>
    <col min="14822" max="14822" width="9.28515625" style="6" customWidth="1"/>
    <col min="14823" max="14823" width="18.7109375" style="6" customWidth="1"/>
    <col min="14824" max="14830" width="18.5703125" style="6" customWidth="1"/>
    <col min="14831" max="14831" width="20.140625" style="6" customWidth="1"/>
    <col min="14832" max="14832" width="18.5703125" style="6" customWidth="1"/>
    <col min="14833" max="14834" width="0" style="6" hidden="1" customWidth="1"/>
    <col min="14835" max="14835" width="18.5703125" style="6" customWidth="1"/>
    <col min="14836" max="14839" width="0" style="6" hidden="1" customWidth="1"/>
    <col min="14840" max="14840" width="15.5703125" style="6" customWidth="1"/>
    <col min="14841" max="14841" width="19" style="6" customWidth="1"/>
    <col min="14842" max="14842" width="18.5703125" style="6" customWidth="1"/>
    <col min="14843" max="14961" width="11.42578125" style="6"/>
    <col min="14962" max="14962" width="44" style="6" customWidth="1"/>
    <col min="14963" max="14965" width="0" style="6" hidden="1" customWidth="1"/>
    <col min="14966" max="14966" width="12.7109375" style="6" customWidth="1"/>
    <col min="14967" max="14967" width="10.28515625" style="6" bestFit="1" customWidth="1"/>
    <col min="14968" max="14968" width="10.28515625" style="6" customWidth="1"/>
    <col min="14969" max="14969" width="9.7109375" style="6" customWidth="1"/>
    <col min="14970" max="14970" width="12.7109375" style="6" customWidth="1"/>
    <col min="14971" max="14971" width="12" style="6" customWidth="1"/>
    <col min="14972" max="14972" width="11.5703125" style="6" customWidth="1"/>
    <col min="14973" max="14973" width="10" style="6" customWidth="1"/>
    <col min="14974" max="14974" width="9" style="6" customWidth="1"/>
    <col min="14975" max="14975" width="8.7109375" style="6" customWidth="1"/>
    <col min="14976" max="14976" width="9.5703125" style="6" customWidth="1"/>
    <col min="14977" max="14977" width="17.140625" style="6" customWidth="1"/>
    <col min="14978" max="14978" width="8.85546875" style="6" customWidth="1"/>
    <col min="14979" max="14997" width="18.7109375" style="6" customWidth="1"/>
    <col min="14998" max="14998" width="17.5703125" style="6" customWidth="1"/>
    <col min="14999" max="14999" width="21.5703125" style="6" customWidth="1"/>
    <col min="15000" max="15000" width="18.42578125" style="6" customWidth="1"/>
    <col min="15001" max="15001" width="20.140625" style="6" customWidth="1"/>
    <col min="15002" max="15002" width="18.7109375" style="6" customWidth="1"/>
    <col min="15003" max="15003" width="17.7109375" style="6" customWidth="1"/>
    <col min="15004" max="15005" width="18.85546875" style="6" customWidth="1"/>
    <col min="15006" max="15006" width="18.28515625" style="6" customWidth="1"/>
    <col min="15007" max="15007" width="20.140625" style="6" customWidth="1"/>
    <col min="15008" max="15008" width="17.140625" style="6" customWidth="1"/>
    <col min="15009" max="15009" width="17.42578125" style="6" customWidth="1"/>
    <col min="15010" max="15010" width="16.28515625" style="6" customWidth="1"/>
    <col min="15011" max="15011" width="19.28515625" style="6" customWidth="1"/>
    <col min="15012" max="15012" width="18" style="6" customWidth="1"/>
    <col min="15013" max="15013" width="18.28515625" style="6" customWidth="1"/>
    <col min="15014" max="15014" width="17.140625" style="6" customWidth="1"/>
    <col min="15015" max="15015" width="16.7109375" style="6" customWidth="1"/>
    <col min="15016" max="15016" width="17.7109375" style="6" customWidth="1"/>
    <col min="15017" max="15017" width="19.28515625" style="6" customWidth="1"/>
    <col min="15018" max="15018" width="17.28515625" style="6" customWidth="1"/>
    <col min="15019" max="15019" width="17.7109375" style="6" customWidth="1"/>
    <col min="15020" max="15020" width="19.7109375" style="6" customWidth="1"/>
    <col min="15021" max="15021" width="17.28515625" style="6" customWidth="1"/>
    <col min="15022" max="15022" width="18.28515625" style="6" customWidth="1"/>
    <col min="15023" max="15023" width="20.85546875" style="6" customWidth="1"/>
    <col min="15024" max="15024" width="17.28515625" style="6" customWidth="1"/>
    <col min="15025" max="15025" width="17.5703125" style="6" customWidth="1"/>
    <col min="15026" max="15026" width="18.42578125" style="6" customWidth="1"/>
    <col min="15027" max="15027" width="18.85546875" style="6" customWidth="1"/>
    <col min="15028" max="15028" width="19.7109375" style="6" customWidth="1"/>
    <col min="15029" max="15029" width="18" style="6" customWidth="1"/>
    <col min="15030" max="15030" width="19.140625" style="6" customWidth="1"/>
    <col min="15031" max="15031" width="19" style="6" customWidth="1"/>
    <col min="15032" max="15032" width="19.28515625" style="6" customWidth="1"/>
    <col min="15033" max="15034" width="19" style="6" customWidth="1"/>
    <col min="15035" max="15035" width="18.28515625" style="6" customWidth="1"/>
    <col min="15036" max="15036" width="19.5703125" style="6" customWidth="1"/>
    <col min="15037" max="15037" width="20.28515625" style="6" customWidth="1"/>
    <col min="15038" max="15038" width="8.7109375" style="6" customWidth="1"/>
    <col min="15039" max="15039" width="20.42578125" style="6" customWidth="1"/>
    <col min="15040" max="15040" width="18.28515625" style="6" customWidth="1"/>
    <col min="15041" max="15041" width="17.85546875" style="6" customWidth="1"/>
    <col min="15042" max="15042" width="19.28515625" style="6" customWidth="1"/>
    <col min="15043" max="15043" width="18.140625" style="6" customWidth="1"/>
    <col min="15044" max="15044" width="17.85546875" style="6" customWidth="1"/>
    <col min="15045" max="15045" width="18" style="6" customWidth="1"/>
    <col min="15046" max="15046" width="18.28515625" style="6" customWidth="1"/>
    <col min="15047" max="15047" width="19.42578125" style="6" customWidth="1"/>
    <col min="15048" max="15048" width="17.85546875" style="6" customWidth="1"/>
    <col min="15049" max="15049" width="18.85546875" style="6" customWidth="1"/>
    <col min="15050" max="15050" width="17.85546875" style="6" customWidth="1"/>
    <col min="15051" max="15051" width="18.5703125" style="6" customWidth="1"/>
    <col min="15052" max="15052" width="19.140625" style="6" customWidth="1"/>
    <col min="15053" max="15053" width="19.42578125" style="6" customWidth="1"/>
    <col min="15054" max="15054" width="17.7109375" style="6" customWidth="1"/>
    <col min="15055" max="15055" width="19.42578125" style="6" customWidth="1"/>
    <col min="15056" max="15056" width="19.28515625" style="6" customWidth="1"/>
    <col min="15057" max="15057" width="19.85546875" style="6" customWidth="1"/>
    <col min="15058" max="15058" width="12" style="6" customWidth="1"/>
    <col min="15059" max="15059" width="18.5703125" style="6" customWidth="1"/>
    <col min="15060" max="15060" width="17.85546875" style="6" customWidth="1"/>
    <col min="15061" max="15061" width="18.85546875" style="6" customWidth="1"/>
    <col min="15062" max="15062" width="19.140625" style="6" customWidth="1"/>
    <col min="15063" max="15063" width="18.85546875" style="6" customWidth="1"/>
    <col min="15064" max="15065" width="17.7109375" style="6" customWidth="1"/>
    <col min="15066" max="15066" width="19.42578125" style="6" customWidth="1"/>
    <col min="15067" max="15067" width="18.5703125" style="6" customWidth="1"/>
    <col min="15068" max="15068" width="17.140625" style="6" customWidth="1"/>
    <col min="15069" max="15069" width="17" style="6" customWidth="1"/>
    <col min="15070" max="15070" width="16.28515625" style="6" customWidth="1"/>
    <col min="15071" max="15071" width="17.85546875" style="6" customWidth="1"/>
    <col min="15072" max="15072" width="18.5703125" style="6" customWidth="1"/>
    <col min="15073" max="15073" width="17.42578125" style="6" customWidth="1"/>
    <col min="15074" max="15074" width="16.5703125" style="6" customWidth="1"/>
    <col min="15075" max="15075" width="17.28515625" style="6" customWidth="1"/>
    <col min="15076" max="15076" width="19" style="6" customWidth="1"/>
    <col min="15077" max="15077" width="18.5703125" style="6" customWidth="1"/>
    <col min="15078" max="15078" width="9.28515625" style="6" customWidth="1"/>
    <col min="15079" max="15079" width="18.7109375" style="6" customWidth="1"/>
    <col min="15080" max="15086" width="18.5703125" style="6" customWidth="1"/>
    <col min="15087" max="15087" width="20.140625" style="6" customWidth="1"/>
    <col min="15088" max="15088" width="18.5703125" style="6" customWidth="1"/>
    <col min="15089" max="15090" width="0" style="6" hidden="1" customWidth="1"/>
    <col min="15091" max="15091" width="18.5703125" style="6" customWidth="1"/>
    <col min="15092" max="15095" width="0" style="6" hidden="1" customWidth="1"/>
    <col min="15096" max="15096" width="15.5703125" style="6" customWidth="1"/>
    <col min="15097" max="15097" width="19" style="6" customWidth="1"/>
    <col min="15098" max="15098" width="18.5703125" style="6" customWidth="1"/>
    <col min="15099" max="15217" width="11.42578125" style="6"/>
    <col min="15218" max="15218" width="44" style="6" customWidth="1"/>
    <col min="15219" max="15221" width="0" style="6" hidden="1" customWidth="1"/>
    <col min="15222" max="15222" width="12.7109375" style="6" customWidth="1"/>
    <col min="15223" max="15223" width="10.28515625" style="6" bestFit="1" customWidth="1"/>
    <col min="15224" max="15224" width="10.28515625" style="6" customWidth="1"/>
    <col min="15225" max="15225" width="9.7109375" style="6" customWidth="1"/>
    <col min="15226" max="15226" width="12.7109375" style="6" customWidth="1"/>
    <col min="15227" max="15227" width="12" style="6" customWidth="1"/>
    <col min="15228" max="15228" width="11.5703125" style="6" customWidth="1"/>
    <col min="15229" max="15229" width="10" style="6" customWidth="1"/>
    <col min="15230" max="15230" width="9" style="6" customWidth="1"/>
    <col min="15231" max="15231" width="8.7109375" style="6" customWidth="1"/>
    <col min="15232" max="15232" width="9.5703125" style="6" customWidth="1"/>
    <col min="15233" max="15233" width="17.140625" style="6" customWidth="1"/>
    <col min="15234" max="15234" width="8.85546875" style="6" customWidth="1"/>
    <col min="15235" max="15253" width="18.7109375" style="6" customWidth="1"/>
    <col min="15254" max="15254" width="17.5703125" style="6" customWidth="1"/>
    <col min="15255" max="15255" width="21.5703125" style="6" customWidth="1"/>
    <col min="15256" max="15256" width="18.42578125" style="6" customWidth="1"/>
    <col min="15257" max="15257" width="20.140625" style="6" customWidth="1"/>
    <col min="15258" max="15258" width="18.7109375" style="6" customWidth="1"/>
    <col min="15259" max="15259" width="17.7109375" style="6" customWidth="1"/>
    <col min="15260" max="15261" width="18.85546875" style="6" customWidth="1"/>
    <col min="15262" max="15262" width="18.28515625" style="6" customWidth="1"/>
    <col min="15263" max="15263" width="20.140625" style="6" customWidth="1"/>
    <col min="15264" max="15264" width="17.140625" style="6" customWidth="1"/>
    <col min="15265" max="15265" width="17.42578125" style="6" customWidth="1"/>
    <col min="15266" max="15266" width="16.28515625" style="6" customWidth="1"/>
    <col min="15267" max="15267" width="19.28515625" style="6" customWidth="1"/>
    <col min="15268" max="15268" width="18" style="6" customWidth="1"/>
    <col min="15269" max="15269" width="18.28515625" style="6" customWidth="1"/>
    <col min="15270" max="15270" width="17.140625" style="6" customWidth="1"/>
    <col min="15271" max="15271" width="16.7109375" style="6" customWidth="1"/>
    <col min="15272" max="15272" width="17.7109375" style="6" customWidth="1"/>
    <col min="15273" max="15273" width="19.28515625" style="6" customWidth="1"/>
    <col min="15274" max="15274" width="17.28515625" style="6" customWidth="1"/>
    <col min="15275" max="15275" width="17.7109375" style="6" customWidth="1"/>
    <col min="15276" max="15276" width="19.7109375" style="6" customWidth="1"/>
    <col min="15277" max="15277" width="17.28515625" style="6" customWidth="1"/>
    <col min="15278" max="15278" width="18.28515625" style="6" customWidth="1"/>
    <col min="15279" max="15279" width="20.85546875" style="6" customWidth="1"/>
    <col min="15280" max="15280" width="17.28515625" style="6" customWidth="1"/>
    <col min="15281" max="15281" width="17.5703125" style="6" customWidth="1"/>
    <col min="15282" max="15282" width="18.42578125" style="6" customWidth="1"/>
    <col min="15283" max="15283" width="18.85546875" style="6" customWidth="1"/>
    <col min="15284" max="15284" width="19.7109375" style="6" customWidth="1"/>
    <col min="15285" max="15285" width="18" style="6" customWidth="1"/>
    <col min="15286" max="15286" width="19.140625" style="6" customWidth="1"/>
    <col min="15287" max="15287" width="19" style="6" customWidth="1"/>
    <col min="15288" max="15288" width="19.28515625" style="6" customWidth="1"/>
    <col min="15289" max="15290" width="19" style="6" customWidth="1"/>
    <col min="15291" max="15291" width="18.28515625" style="6" customWidth="1"/>
    <col min="15292" max="15292" width="19.5703125" style="6" customWidth="1"/>
    <col min="15293" max="15293" width="20.28515625" style="6" customWidth="1"/>
    <col min="15294" max="15294" width="8.7109375" style="6" customWidth="1"/>
    <col min="15295" max="15295" width="20.42578125" style="6" customWidth="1"/>
    <col min="15296" max="15296" width="18.28515625" style="6" customWidth="1"/>
    <col min="15297" max="15297" width="17.85546875" style="6" customWidth="1"/>
    <col min="15298" max="15298" width="19.28515625" style="6" customWidth="1"/>
    <col min="15299" max="15299" width="18.140625" style="6" customWidth="1"/>
    <col min="15300" max="15300" width="17.85546875" style="6" customWidth="1"/>
    <col min="15301" max="15301" width="18" style="6" customWidth="1"/>
    <col min="15302" max="15302" width="18.28515625" style="6" customWidth="1"/>
    <col min="15303" max="15303" width="19.42578125" style="6" customWidth="1"/>
    <col min="15304" max="15304" width="17.85546875" style="6" customWidth="1"/>
    <col min="15305" max="15305" width="18.85546875" style="6" customWidth="1"/>
    <col min="15306" max="15306" width="17.85546875" style="6" customWidth="1"/>
    <col min="15307" max="15307" width="18.5703125" style="6" customWidth="1"/>
    <col min="15308" max="15308" width="19.140625" style="6" customWidth="1"/>
    <col min="15309" max="15309" width="19.42578125" style="6" customWidth="1"/>
    <col min="15310" max="15310" width="17.7109375" style="6" customWidth="1"/>
    <col min="15311" max="15311" width="19.42578125" style="6" customWidth="1"/>
    <col min="15312" max="15312" width="19.28515625" style="6" customWidth="1"/>
    <col min="15313" max="15313" width="19.85546875" style="6" customWidth="1"/>
    <col min="15314" max="15314" width="12" style="6" customWidth="1"/>
    <col min="15315" max="15315" width="18.5703125" style="6" customWidth="1"/>
    <col min="15316" max="15316" width="17.85546875" style="6" customWidth="1"/>
    <col min="15317" max="15317" width="18.85546875" style="6" customWidth="1"/>
    <col min="15318" max="15318" width="19.140625" style="6" customWidth="1"/>
    <col min="15319" max="15319" width="18.85546875" style="6" customWidth="1"/>
    <col min="15320" max="15321" width="17.7109375" style="6" customWidth="1"/>
    <col min="15322" max="15322" width="19.42578125" style="6" customWidth="1"/>
    <col min="15323" max="15323" width="18.5703125" style="6" customWidth="1"/>
    <col min="15324" max="15324" width="17.140625" style="6" customWidth="1"/>
    <col min="15325" max="15325" width="17" style="6" customWidth="1"/>
    <col min="15326" max="15326" width="16.28515625" style="6" customWidth="1"/>
    <col min="15327" max="15327" width="17.85546875" style="6" customWidth="1"/>
    <col min="15328" max="15328" width="18.5703125" style="6" customWidth="1"/>
    <col min="15329" max="15329" width="17.42578125" style="6" customWidth="1"/>
    <col min="15330" max="15330" width="16.5703125" style="6" customWidth="1"/>
    <col min="15331" max="15331" width="17.28515625" style="6" customWidth="1"/>
    <col min="15332" max="15332" width="19" style="6" customWidth="1"/>
    <col min="15333" max="15333" width="18.5703125" style="6" customWidth="1"/>
    <col min="15334" max="15334" width="9.28515625" style="6" customWidth="1"/>
    <col min="15335" max="15335" width="18.7109375" style="6" customWidth="1"/>
    <col min="15336" max="15342" width="18.5703125" style="6" customWidth="1"/>
    <col min="15343" max="15343" width="20.140625" style="6" customWidth="1"/>
    <col min="15344" max="15344" width="18.5703125" style="6" customWidth="1"/>
    <col min="15345" max="15346" width="0" style="6" hidden="1" customWidth="1"/>
    <col min="15347" max="15347" width="18.5703125" style="6" customWidth="1"/>
    <col min="15348" max="15351" width="0" style="6" hidden="1" customWidth="1"/>
    <col min="15352" max="15352" width="15.5703125" style="6" customWidth="1"/>
    <col min="15353" max="15353" width="19" style="6" customWidth="1"/>
    <col min="15354" max="15354" width="18.5703125" style="6" customWidth="1"/>
    <col min="15355" max="15473" width="11.42578125" style="6"/>
    <col min="15474" max="15474" width="44" style="6" customWidth="1"/>
    <col min="15475" max="15477" width="0" style="6" hidden="1" customWidth="1"/>
    <col min="15478" max="15478" width="12.7109375" style="6" customWidth="1"/>
    <col min="15479" max="15479" width="10.28515625" style="6" bestFit="1" customWidth="1"/>
    <col min="15480" max="15480" width="10.28515625" style="6" customWidth="1"/>
    <col min="15481" max="15481" width="9.7109375" style="6" customWidth="1"/>
    <col min="15482" max="15482" width="12.7109375" style="6" customWidth="1"/>
    <col min="15483" max="15483" width="12" style="6" customWidth="1"/>
    <col min="15484" max="15484" width="11.5703125" style="6" customWidth="1"/>
    <col min="15485" max="15485" width="10" style="6" customWidth="1"/>
    <col min="15486" max="15486" width="9" style="6" customWidth="1"/>
    <col min="15487" max="15487" width="8.7109375" style="6" customWidth="1"/>
    <col min="15488" max="15488" width="9.5703125" style="6" customWidth="1"/>
    <col min="15489" max="15489" width="17.140625" style="6" customWidth="1"/>
    <col min="15490" max="15490" width="8.85546875" style="6" customWidth="1"/>
    <col min="15491" max="15509" width="18.7109375" style="6" customWidth="1"/>
    <col min="15510" max="15510" width="17.5703125" style="6" customWidth="1"/>
    <col min="15511" max="15511" width="21.5703125" style="6" customWidth="1"/>
    <col min="15512" max="15512" width="18.42578125" style="6" customWidth="1"/>
    <col min="15513" max="15513" width="20.140625" style="6" customWidth="1"/>
    <col min="15514" max="15514" width="18.7109375" style="6" customWidth="1"/>
    <col min="15515" max="15515" width="17.7109375" style="6" customWidth="1"/>
    <col min="15516" max="15517" width="18.85546875" style="6" customWidth="1"/>
    <col min="15518" max="15518" width="18.28515625" style="6" customWidth="1"/>
    <col min="15519" max="15519" width="20.140625" style="6" customWidth="1"/>
    <col min="15520" max="15520" width="17.140625" style="6" customWidth="1"/>
    <col min="15521" max="15521" width="17.42578125" style="6" customWidth="1"/>
    <col min="15522" max="15522" width="16.28515625" style="6" customWidth="1"/>
    <col min="15523" max="15523" width="19.28515625" style="6" customWidth="1"/>
    <col min="15524" max="15524" width="18" style="6" customWidth="1"/>
    <col min="15525" max="15525" width="18.28515625" style="6" customWidth="1"/>
    <col min="15526" max="15526" width="17.140625" style="6" customWidth="1"/>
    <col min="15527" max="15527" width="16.7109375" style="6" customWidth="1"/>
    <col min="15528" max="15528" width="17.7109375" style="6" customWidth="1"/>
    <col min="15529" max="15529" width="19.28515625" style="6" customWidth="1"/>
    <col min="15530" max="15530" width="17.28515625" style="6" customWidth="1"/>
    <col min="15531" max="15531" width="17.7109375" style="6" customWidth="1"/>
    <col min="15532" max="15532" width="19.7109375" style="6" customWidth="1"/>
    <col min="15533" max="15533" width="17.28515625" style="6" customWidth="1"/>
    <col min="15534" max="15534" width="18.28515625" style="6" customWidth="1"/>
    <col min="15535" max="15535" width="20.85546875" style="6" customWidth="1"/>
    <col min="15536" max="15536" width="17.28515625" style="6" customWidth="1"/>
    <col min="15537" max="15537" width="17.5703125" style="6" customWidth="1"/>
    <col min="15538" max="15538" width="18.42578125" style="6" customWidth="1"/>
    <col min="15539" max="15539" width="18.85546875" style="6" customWidth="1"/>
    <col min="15540" max="15540" width="19.7109375" style="6" customWidth="1"/>
    <col min="15541" max="15541" width="18" style="6" customWidth="1"/>
    <col min="15542" max="15542" width="19.140625" style="6" customWidth="1"/>
    <col min="15543" max="15543" width="19" style="6" customWidth="1"/>
    <col min="15544" max="15544" width="19.28515625" style="6" customWidth="1"/>
    <col min="15545" max="15546" width="19" style="6" customWidth="1"/>
    <col min="15547" max="15547" width="18.28515625" style="6" customWidth="1"/>
    <col min="15548" max="15548" width="19.5703125" style="6" customWidth="1"/>
    <col min="15549" max="15549" width="20.28515625" style="6" customWidth="1"/>
    <col min="15550" max="15550" width="8.7109375" style="6" customWidth="1"/>
    <col min="15551" max="15551" width="20.42578125" style="6" customWidth="1"/>
    <col min="15552" max="15552" width="18.28515625" style="6" customWidth="1"/>
    <col min="15553" max="15553" width="17.85546875" style="6" customWidth="1"/>
    <col min="15554" max="15554" width="19.28515625" style="6" customWidth="1"/>
    <col min="15555" max="15555" width="18.140625" style="6" customWidth="1"/>
    <col min="15556" max="15556" width="17.85546875" style="6" customWidth="1"/>
    <col min="15557" max="15557" width="18" style="6" customWidth="1"/>
    <col min="15558" max="15558" width="18.28515625" style="6" customWidth="1"/>
    <col min="15559" max="15559" width="19.42578125" style="6" customWidth="1"/>
    <col min="15560" max="15560" width="17.85546875" style="6" customWidth="1"/>
    <col min="15561" max="15561" width="18.85546875" style="6" customWidth="1"/>
    <col min="15562" max="15562" width="17.85546875" style="6" customWidth="1"/>
    <col min="15563" max="15563" width="18.5703125" style="6" customWidth="1"/>
    <col min="15564" max="15564" width="19.140625" style="6" customWidth="1"/>
    <col min="15565" max="15565" width="19.42578125" style="6" customWidth="1"/>
    <col min="15566" max="15566" width="17.7109375" style="6" customWidth="1"/>
    <col min="15567" max="15567" width="19.42578125" style="6" customWidth="1"/>
    <col min="15568" max="15568" width="19.28515625" style="6" customWidth="1"/>
    <col min="15569" max="15569" width="19.85546875" style="6" customWidth="1"/>
    <col min="15570" max="15570" width="12" style="6" customWidth="1"/>
    <col min="15571" max="15571" width="18.5703125" style="6" customWidth="1"/>
    <col min="15572" max="15572" width="17.85546875" style="6" customWidth="1"/>
    <col min="15573" max="15573" width="18.85546875" style="6" customWidth="1"/>
    <col min="15574" max="15574" width="19.140625" style="6" customWidth="1"/>
    <col min="15575" max="15575" width="18.85546875" style="6" customWidth="1"/>
    <col min="15576" max="15577" width="17.7109375" style="6" customWidth="1"/>
    <col min="15578" max="15578" width="19.42578125" style="6" customWidth="1"/>
    <col min="15579" max="15579" width="18.5703125" style="6" customWidth="1"/>
    <col min="15580" max="15580" width="17.140625" style="6" customWidth="1"/>
    <col min="15581" max="15581" width="17" style="6" customWidth="1"/>
    <col min="15582" max="15582" width="16.28515625" style="6" customWidth="1"/>
    <col min="15583" max="15583" width="17.85546875" style="6" customWidth="1"/>
    <col min="15584" max="15584" width="18.5703125" style="6" customWidth="1"/>
    <col min="15585" max="15585" width="17.42578125" style="6" customWidth="1"/>
    <col min="15586" max="15586" width="16.5703125" style="6" customWidth="1"/>
    <col min="15587" max="15587" width="17.28515625" style="6" customWidth="1"/>
    <col min="15588" max="15588" width="19" style="6" customWidth="1"/>
    <col min="15589" max="15589" width="18.5703125" style="6" customWidth="1"/>
    <col min="15590" max="15590" width="9.28515625" style="6" customWidth="1"/>
    <col min="15591" max="15591" width="18.7109375" style="6" customWidth="1"/>
    <col min="15592" max="15598" width="18.5703125" style="6" customWidth="1"/>
    <col min="15599" max="15599" width="20.140625" style="6" customWidth="1"/>
    <col min="15600" max="15600" width="18.5703125" style="6" customWidth="1"/>
    <col min="15601" max="15602" width="0" style="6" hidden="1" customWidth="1"/>
    <col min="15603" max="15603" width="18.5703125" style="6" customWidth="1"/>
    <col min="15604" max="15607" width="0" style="6" hidden="1" customWidth="1"/>
    <col min="15608" max="15608" width="15.5703125" style="6" customWidth="1"/>
    <col min="15609" max="15609" width="19" style="6" customWidth="1"/>
    <col min="15610" max="15610" width="18.5703125" style="6" customWidth="1"/>
    <col min="15611" max="15729" width="11.42578125" style="6"/>
    <col min="15730" max="15730" width="44" style="6" customWidth="1"/>
    <col min="15731" max="15733" width="0" style="6" hidden="1" customWidth="1"/>
    <col min="15734" max="15734" width="12.7109375" style="6" customWidth="1"/>
    <col min="15735" max="15735" width="10.28515625" style="6" bestFit="1" customWidth="1"/>
    <col min="15736" max="15736" width="10.28515625" style="6" customWidth="1"/>
    <col min="15737" max="15737" width="9.7109375" style="6" customWidth="1"/>
    <col min="15738" max="15738" width="12.7109375" style="6" customWidth="1"/>
    <col min="15739" max="15739" width="12" style="6" customWidth="1"/>
    <col min="15740" max="15740" width="11.5703125" style="6" customWidth="1"/>
    <col min="15741" max="15741" width="10" style="6" customWidth="1"/>
    <col min="15742" max="15742" width="9" style="6" customWidth="1"/>
    <col min="15743" max="15743" width="8.7109375" style="6" customWidth="1"/>
    <col min="15744" max="15744" width="9.5703125" style="6" customWidth="1"/>
    <col min="15745" max="15745" width="17.140625" style="6" customWidth="1"/>
    <col min="15746" max="15746" width="8.85546875" style="6" customWidth="1"/>
    <col min="15747" max="15765" width="18.7109375" style="6" customWidth="1"/>
    <col min="15766" max="15766" width="17.5703125" style="6" customWidth="1"/>
    <col min="15767" max="15767" width="21.5703125" style="6" customWidth="1"/>
    <col min="15768" max="15768" width="18.42578125" style="6" customWidth="1"/>
    <col min="15769" max="15769" width="20.140625" style="6" customWidth="1"/>
    <col min="15770" max="15770" width="18.7109375" style="6" customWidth="1"/>
    <col min="15771" max="15771" width="17.7109375" style="6" customWidth="1"/>
    <col min="15772" max="15773" width="18.85546875" style="6" customWidth="1"/>
    <col min="15774" max="15774" width="18.28515625" style="6" customWidth="1"/>
    <col min="15775" max="15775" width="20.140625" style="6" customWidth="1"/>
    <col min="15776" max="15776" width="17.140625" style="6" customWidth="1"/>
    <col min="15777" max="15777" width="17.42578125" style="6" customWidth="1"/>
    <col min="15778" max="15778" width="16.28515625" style="6" customWidth="1"/>
    <col min="15779" max="15779" width="19.28515625" style="6" customWidth="1"/>
    <col min="15780" max="15780" width="18" style="6" customWidth="1"/>
    <col min="15781" max="15781" width="18.28515625" style="6" customWidth="1"/>
    <col min="15782" max="15782" width="17.140625" style="6" customWidth="1"/>
    <col min="15783" max="15783" width="16.7109375" style="6" customWidth="1"/>
    <col min="15784" max="15784" width="17.7109375" style="6" customWidth="1"/>
    <col min="15785" max="15785" width="19.28515625" style="6" customWidth="1"/>
    <col min="15786" max="15786" width="17.28515625" style="6" customWidth="1"/>
    <col min="15787" max="15787" width="17.7109375" style="6" customWidth="1"/>
    <col min="15788" max="15788" width="19.7109375" style="6" customWidth="1"/>
    <col min="15789" max="15789" width="17.28515625" style="6" customWidth="1"/>
    <col min="15790" max="15790" width="18.28515625" style="6" customWidth="1"/>
    <col min="15791" max="15791" width="20.85546875" style="6" customWidth="1"/>
    <col min="15792" max="15792" width="17.28515625" style="6" customWidth="1"/>
    <col min="15793" max="15793" width="17.5703125" style="6" customWidth="1"/>
    <col min="15794" max="15794" width="18.42578125" style="6" customWidth="1"/>
    <col min="15795" max="15795" width="18.85546875" style="6" customWidth="1"/>
    <col min="15796" max="15796" width="19.7109375" style="6" customWidth="1"/>
    <col min="15797" max="15797" width="18" style="6" customWidth="1"/>
    <col min="15798" max="15798" width="19.140625" style="6" customWidth="1"/>
    <col min="15799" max="15799" width="19" style="6" customWidth="1"/>
    <col min="15800" max="15800" width="19.28515625" style="6" customWidth="1"/>
    <col min="15801" max="15802" width="19" style="6" customWidth="1"/>
    <col min="15803" max="15803" width="18.28515625" style="6" customWidth="1"/>
    <col min="15804" max="15804" width="19.5703125" style="6" customWidth="1"/>
    <col min="15805" max="15805" width="20.28515625" style="6" customWidth="1"/>
    <col min="15806" max="15806" width="8.7109375" style="6" customWidth="1"/>
    <col min="15807" max="15807" width="20.42578125" style="6" customWidth="1"/>
    <col min="15808" max="15808" width="18.28515625" style="6" customWidth="1"/>
    <col min="15809" max="15809" width="17.85546875" style="6" customWidth="1"/>
    <col min="15810" max="15810" width="19.28515625" style="6" customWidth="1"/>
    <col min="15811" max="15811" width="18.140625" style="6" customWidth="1"/>
    <col min="15812" max="15812" width="17.85546875" style="6" customWidth="1"/>
    <col min="15813" max="15813" width="18" style="6" customWidth="1"/>
    <col min="15814" max="15814" width="18.28515625" style="6" customWidth="1"/>
    <col min="15815" max="15815" width="19.42578125" style="6" customWidth="1"/>
    <col min="15816" max="15816" width="17.85546875" style="6" customWidth="1"/>
    <col min="15817" max="15817" width="18.85546875" style="6" customWidth="1"/>
    <col min="15818" max="15818" width="17.85546875" style="6" customWidth="1"/>
    <col min="15819" max="15819" width="18.5703125" style="6" customWidth="1"/>
    <col min="15820" max="15820" width="19.140625" style="6" customWidth="1"/>
    <col min="15821" max="15821" width="19.42578125" style="6" customWidth="1"/>
    <col min="15822" max="15822" width="17.7109375" style="6" customWidth="1"/>
    <col min="15823" max="15823" width="19.42578125" style="6" customWidth="1"/>
    <col min="15824" max="15824" width="19.28515625" style="6" customWidth="1"/>
    <col min="15825" max="15825" width="19.85546875" style="6" customWidth="1"/>
    <col min="15826" max="15826" width="12" style="6" customWidth="1"/>
    <col min="15827" max="15827" width="18.5703125" style="6" customWidth="1"/>
    <col min="15828" max="15828" width="17.85546875" style="6" customWidth="1"/>
    <col min="15829" max="15829" width="18.85546875" style="6" customWidth="1"/>
    <col min="15830" max="15830" width="19.140625" style="6" customWidth="1"/>
    <col min="15831" max="15831" width="18.85546875" style="6" customWidth="1"/>
    <col min="15832" max="15833" width="17.7109375" style="6" customWidth="1"/>
    <col min="15834" max="15834" width="19.42578125" style="6" customWidth="1"/>
    <col min="15835" max="15835" width="18.5703125" style="6" customWidth="1"/>
    <col min="15836" max="15836" width="17.140625" style="6" customWidth="1"/>
    <col min="15837" max="15837" width="17" style="6" customWidth="1"/>
    <col min="15838" max="15838" width="16.28515625" style="6" customWidth="1"/>
    <col min="15839" max="15839" width="17.85546875" style="6" customWidth="1"/>
    <col min="15840" max="15840" width="18.5703125" style="6" customWidth="1"/>
    <col min="15841" max="15841" width="17.42578125" style="6" customWidth="1"/>
    <col min="15842" max="15842" width="16.5703125" style="6" customWidth="1"/>
    <col min="15843" max="15843" width="17.28515625" style="6" customWidth="1"/>
    <col min="15844" max="15844" width="19" style="6" customWidth="1"/>
    <col min="15845" max="15845" width="18.5703125" style="6" customWidth="1"/>
    <col min="15846" max="15846" width="9.28515625" style="6" customWidth="1"/>
    <col min="15847" max="15847" width="18.7109375" style="6" customWidth="1"/>
    <col min="15848" max="15854" width="18.5703125" style="6" customWidth="1"/>
    <col min="15855" max="15855" width="20.140625" style="6" customWidth="1"/>
    <col min="15856" max="15856" width="18.5703125" style="6" customWidth="1"/>
    <col min="15857" max="15858" width="0" style="6" hidden="1" customWidth="1"/>
    <col min="15859" max="15859" width="18.5703125" style="6" customWidth="1"/>
    <col min="15860" max="15863" width="0" style="6" hidden="1" customWidth="1"/>
    <col min="15864" max="15864" width="15.5703125" style="6" customWidth="1"/>
    <col min="15865" max="15865" width="19" style="6" customWidth="1"/>
    <col min="15866" max="15866" width="18.5703125" style="6" customWidth="1"/>
    <col min="15867" max="15985" width="11.42578125" style="6"/>
    <col min="15986" max="15986" width="44" style="6" customWidth="1"/>
    <col min="15987" max="15989" width="0" style="6" hidden="1" customWidth="1"/>
    <col min="15990" max="15990" width="12.7109375" style="6" customWidth="1"/>
    <col min="15991" max="15991" width="10.28515625" style="6" bestFit="1" customWidth="1"/>
    <col min="15992" max="15992" width="10.28515625" style="6" customWidth="1"/>
    <col min="15993" max="15993" width="9.7109375" style="6" customWidth="1"/>
    <col min="15994" max="15994" width="12.7109375" style="6" customWidth="1"/>
    <col min="15995" max="15995" width="12" style="6" customWidth="1"/>
    <col min="15996" max="15996" width="11.5703125" style="6" customWidth="1"/>
    <col min="15997" max="15997" width="10" style="6" customWidth="1"/>
    <col min="15998" max="15998" width="9" style="6" customWidth="1"/>
    <col min="15999" max="15999" width="8.7109375" style="6" customWidth="1"/>
    <col min="16000" max="16000" width="9.5703125" style="6" customWidth="1"/>
    <col min="16001" max="16001" width="17.140625" style="6" customWidth="1"/>
    <col min="16002" max="16002" width="8.85546875" style="6" customWidth="1"/>
    <col min="16003" max="16021" width="18.7109375" style="6" customWidth="1"/>
    <col min="16022" max="16022" width="17.5703125" style="6" customWidth="1"/>
    <col min="16023" max="16023" width="21.5703125" style="6" customWidth="1"/>
    <col min="16024" max="16024" width="18.42578125" style="6" customWidth="1"/>
    <col min="16025" max="16025" width="20.140625" style="6" customWidth="1"/>
    <col min="16026" max="16026" width="18.7109375" style="6" customWidth="1"/>
    <col min="16027" max="16027" width="17.7109375" style="6" customWidth="1"/>
    <col min="16028" max="16029" width="18.85546875" style="6" customWidth="1"/>
    <col min="16030" max="16030" width="18.28515625" style="6" customWidth="1"/>
    <col min="16031" max="16031" width="20.140625" style="6" customWidth="1"/>
    <col min="16032" max="16032" width="17.140625" style="6" customWidth="1"/>
    <col min="16033" max="16033" width="17.42578125" style="6" customWidth="1"/>
    <col min="16034" max="16034" width="16.28515625" style="6" customWidth="1"/>
    <col min="16035" max="16035" width="19.28515625" style="6" customWidth="1"/>
    <col min="16036" max="16036" width="18" style="6" customWidth="1"/>
    <col min="16037" max="16037" width="18.28515625" style="6" customWidth="1"/>
    <col min="16038" max="16038" width="17.140625" style="6" customWidth="1"/>
    <col min="16039" max="16039" width="16.7109375" style="6" customWidth="1"/>
    <col min="16040" max="16040" width="17.7109375" style="6" customWidth="1"/>
    <col min="16041" max="16041" width="19.28515625" style="6" customWidth="1"/>
    <col min="16042" max="16042" width="17.28515625" style="6" customWidth="1"/>
    <col min="16043" max="16043" width="17.7109375" style="6" customWidth="1"/>
    <col min="16044" max="16044" width="19.7109375" style="6" customWidth="1"/>
    <col min="16045" max="16045" width="17.28515625" style="6" customWidth="1"/>
    <col min="16046" max="16046" width="18.28515625" style="6" customWidth="1"/>
    <col min="16047" max="16047" width="20.85546875" style="6" customWidth="1"/>
    <col min="16048" max="16048" width="17.28515625" style="6" customWidth="1"/>
    <col min="16049" max="16049" width="17.5703125" style="6" customWidth="1"/>
    <col min="16050" max="16050" width="18.42578125" style="6" customWidth="1"/>
    <col min="16051" max="16051" width="18.85546875" style="6" customWidth="1"/>
    <col min="16052" max="16052" width="19.7109375" style="6" customWidth="1"/>
    <col min="16053" max="16053" width="18" style="6" customWidth="1"/>
    <col min="16054" max="16054" width="19.140625" style="6" customWidth="1"/>
    <col min="16055" max="16055" width="19" style="6" customWidth="1"/>
    <col min="16056" max="16056" width="19.28515625" style="6" customWidth="1"/>
    <col min="16057" max="16058" width="19" style="6" customWidth="1"/>
    <col min="16059" max="16059" width="18.28515625" style="6" customWidth="1"/>
    <col min="16060" max="16060" width="19.5703125" style="6" customWidth="1"/>
    <col min="16061" max="16061" width="20.28515625" style="6" customWidth="1"/>
    <col min="16062" max="16062" width="8.7109375" style="6" customWidth="1"/>
    <col min="16063" max="16063" width="20.42578125" style="6" customWidth="1"/>
    <col min="16064" max="16064" width="18.28515625" style="6" customWidth="1"/>
    <col min="16065" max="16065" width="17.85546875" style="6" customWidth="1"/>
    <col min="16066" max="16066" width="19.28515625" style="6" customWidth="1"/>
    <col min="16067" max="16067" width="18.140625" style="6" customWidth="1"/>
    <col min="16068" max="16068" width="17.85546875" style="6" customWidth="1"/>
    <col min="16069" max="16069" width="18" style="6" customWidth="1"/>
    <col min="16070" max="16070" width="18.28515625" style="6" customWidth="1"/>
    <col min="16071" max="16071" width="19.42578125" style="6" customWidth="1"/>
    <col min="16072" max="16072" width="17.85546875" style="6" customWidth="1"/>
    <col min="16073" max="16073" width="18.85546875" style="6" customWidth="1"/>
    <col min="16074" max="16074" width="17.85546875" style="6" customWidth="1"/>
    <col min="16075" max="16075" width="18.5703125" style="6" customWidth="1"/>
    <col min="16076" max="16076" width="19.140625" style="6" customWidth="1"/>
    <col min="16077" max="16077" width="19.42578125" style="6" customWidth="1"/>
    <col min="16078" max="16078" width="17.7109375" style="6" customWidth="1"/>
    <col min="16079" max="16079" width="19.42578125" style="6" customWidth="1"/>
    <col min="16080" max="16080" width="19.28515625" style="6" customWidth="1"/>
    <col min="16081" max="16081" width="19.85546875" style="6" customWidth="1"/>
    <col min="16082" max="16082" width="12" style="6" customWidth="1"/>
    <col min="16083" max="16083" width="18.5703125" style="6" customWidth="1"/>
    <col min="16084" max="16084" width="17.85546875" style="6" customWidth="1"/>
    <col min="16085" max="16085" width="18.85546875" style="6" customWidth="1"/>
    <col min="16086" max="16086" width="19.140625" style="6" customWidth="1"/>
    <col min="16087" max="16087" width="18.85546875" style="6" customWidth="1"/>
    <col min="16088" max="16089" width="17.7109375" style="6" customWidth="1"/>
    <col min="16090" max="16090" width="19.42578125" style="6" customWidth="1"/>
    <col min="16091" max="16091" width="18.5703125" style="6" customWidth="1"/>
    <col min="16092" max="16092" width="17.140625" style="6" customWidth="1"/>
    <col min="16093" max="16093" width="17" style="6" customWidth="1"/>
    <col min="16094" max="16094" width="16.28515625" style="6" customWidth="1"/>
    <col min="16095" max="16095" width="17.85546875" style="6" customWidth="1"/>
    <col min="16096" max="16096" width="18.5703125" style="6" customWidth="1"/>
    <col min="16097" max="16097" width="17.42578125" style="6" customWidth="1"/>
    <col min="16098" max="16098" width="16.5703125" style="6" customWidth="1"/>
    <col min="16099" max="16099" width="17.28515625" style="6" customWidth="1"/>
    <col min="16100" max="16100" width="19" style="6" customWidth="1"/>
    <col min="16101" max="16101" width="18.5703125" style="6" customWidth="1"/>
    <col min="16102" max="16102" width="9.28515625" style="6" customWidth="1"/>
    <col min="16103" max="16103" width="18.7109375" style="6" customWidth="1"/>
    <col min="16104" max="16110" width="18.5703125" style="6" customWidth="1"/>
    <col min="16111" max="16111" width="20.140625" style="6" customWidth="1"/>
    <col min="16112" max="16112" width="18.5703125" style="6" customWidth="1"/>
    <col min="16113" max="16114" width="0" style="6" hidden="1" customWidth="1"/>
    <col min="16115" max="16115" width="18.5703125" style="6" customWidth="1"/>
    <col min="16116" max="16119" width="0" style="6" hidden="1" customWidth="1"/>
    <col min="16120" max="16120" width="15.5703125" style="6" customWidth="1"/>
    <col min="16121" max="16121" width="19" style="6" customWidth="1"/>
    <col min="16122" max="16122" width="18.5703125" style="6" customWidth="1"/>
    <col min="16123" max="16384" width="11.42578125" style="6"/>
  </cols>
  <sheetData>
    <row r="1" spans="1:2" ht="15.75" x14ac:dyDescent="0.25">
      <c r="A1" s="23" t="s">
        <v>920</v>
      </c>
      <c r="B1" s="22"/>
    </row>
    <row r="2" spans="1:2" x14ac:dyDescent="0.2">
      <c r="A2" s="676" t="s">
        <v>60</v>
      </c>
      <c r="B2" s="676"/>
    </row>
    <row r="3" spans="1:2" ht="15.75" x14ac:dyDescent="0.25">
      <c r="A3" s="677" t="s">
        <v>0</v>
      </c>
      <c r="B3" s="677"/>
    </row>
    <row r="4" spans="1:2" x14ac:dyDescent="0.2">
      <c r="A4" s="1"/>
      <c r="B4" s="2"/>
    </row>
    <row r="5" spans="1:2" ht="10.5" customHeight="1" x14ac:dyDescent="0.2">
      <c r="A5" s="173"/>
      <c r="B5" s="157"/>
    </row>
    <row r="6" spans="1:2" x14ac:dyDescent="0.2">
      <c r="A6" s="174" t="s">
        <v>921</v>
      </c>
      <c r="B6" s="158" t="s">
        <v>61</v>
      </c>
    </row>
    <row r="7" spans="1:2" ht="10.5" customHeight="1" x14ac:dyDescent="0.2">
      <c r="A7" s="175"/>
      <c r="B7" s="160"/>
    </row>
    <row r="8" spans="1:2" x14ac:dyDescent="0.2">
      <c r="A8" s="176"/>
      <c r="B8" s="159"/>
    </row>
    <row r="9" spans="1:2" x14ac:dyDescent="0.2">
      <c r="A9" s="161" t="s">
        <v>62</v>
      </c>
      <c r="B9" s="162">
        <v>-3077459003</v>
      </c>
    </row>
    <row r="10" spans="1:2" x14ac:dyDescent="0.2">
      <c r="A10" s="163" t="s">
        <v>10</v>
      </c>
      <c r="B10" s="162">
        <v>-3078859003</v>
      </c>
    </row>
    <row r="11" spans="1:2" x14ac:dyDescent="0.2">
      <c r="A11" s="163" t="s">
        <v>11</v>
      </c>
      <c r="B11" s="162">
        <v>-2865266510</v>
      </c>
    </row>
    <row r="12" spans="1:2" x14ac:dyDescent="0.2">
      <c r="A12" s="163" t="s">
        <v>12</v>
      </c>
      <c r="B12" s="162">
        <v>-1286415710</v>
      </c>
    </row>
    <row r="13" spans="1:2" x14ac:dyDescent="0.2">
      <c r="A13" s="164" t="s">
        <v>13</v>
      </c>
      <c r="B13" s="165">
        <v>-1459000399</v>
      </c>
    </row>
    <row r="14" spans="1:2" x14ac:dyDescent="0.2">
      <c r="A14" s="164" t="s">
        <v>14</v>
      </c>
      <c r="B14" s="165">
        <v>6930</v>
      </c>
    </row>
    <row r="15" spans="1:2" x14ac:dyDescent="0.2">
      <c r="A15" s="166" t="s">
        <v>15</v>
      </c>
      <c r="B15" s="165">
        <v>172527999</v>
      </c>
    </row>
    <row r="16" spans="1:2" x14ac:dyDescent="0.2">
      <c r="A16" s="166" t="s">
        <v>16</v>
      </c>
      <c r="B16" s="165">
        <v>49760</v>
      </c>
    </row>
    <row r="17" spans="1:2" x14ac:dyDescent="0.2">
      <c r="A17" s="164"/>
      <c r="B17" s="165"/>
    </row>
    <row r="18" spans="1:2" x14ac:dyDescent="0.2">
      <c r="A18" s="163" t="s">
        <v>17</v>
      </c>
      <c r="B18" s="162">
        <v>-522020118</v>
      </c>
    </row>
    <row r="19" spans="1:2" x14ac:dyDescent="0.2">
      <c r="A19" s="164" t="s">
        <v>18</v>
      </c>
      <c r="B19" s="165">
        <v>452166283</v>
      </c>
    </row>
    <row r="20" spans="1:2" x14ac:dyDescent="0.2">
      <c r="A20" s="164" t="s">
        <v>19</v>
      </c>
      <c r="B20" s="165">
        <v>-972929618</v>
      </c>
    </row>
    <row r="21" spans="1:2" x14ac:dyDescent="0.2">
      <c r="A21" s="164" t="s">
        <v>20</v>
      </c>
      <c r="B21" s="165">
        <v>-32524265</v>
      </c>
    </row>
    <row r="22" spans="1:2" x14ac:dyDescent="0.2">
      <c r="A22" s="164" t="s">
        <v>21</v>
      </c>
      <c r="B22" s="165">
        <v>-71519062</v>
      </c>
    </row>
    <row r="23" spans="1:2" x14ac:dyDescent="0.2">
      <c r="A23" s="164" t="s">
        <v>22</v>
      </c>
      <c r="B23" s="165">
        <v>-30156939</v>
      </c>
    </row>
    <row r="24" spans="1:2" x14ac:dyDescent="0.2">
      <c r="A24" s="164" t="s">
        <v>23</v>
      </c>
      <c r="B24" s="165">
        <v>61870044</v>
      </c>
    </row>
    <row r="25" spans="1:2" x14ac:dyDescent="0.2">
      <c r="A25" s="164" t="s">
        <v>24</v>
      </c>
      <c r="B25" s="165">
        <v>-36004455</v>
      </c>
    </row>
    <row r="26" spans="1:2" x14ac:dyDescent="0.2">
      <c r="A26" s="164" t="s">
        <v>25</v>
      </c>
      <c r="B26" s="165">
        <v>-864594941</v>
      </c>
    </row>
    <row r="27" spans="1:2" x14ac:dyDescent="0.2">
      <c r="A27" s="164" t="s">
        <v>26</v>
      </c>
      <c r="B27" s="165">
        <v>-1256783</v>
      </c>
    </row>
    <row r="28" spans="1:2" x14ac:dyDescent="0.2">
      <c r="A28" s="164"/>
      <c r="B28" s="165"/>
    </row>
    <row r="29" spans="1:2" x14ac:dyDescent="0.2">
      <c r="A29" s="163" t="s">
        <v>27</v>
      </c>
      <c r="B29" s="162">
        <v>-1056830682</v>
      </c>
    </row>
    <row r="30" spans="1:2" x14ac:dyDescent="0.2">
      <c r="A30" s="164" t="s">
        <v>28</v>
      </c>
      <c r="B30" s="165">
        <v>-402046609</v>
      </c>
    </row>
    <row r="31" spans="1:2" ht="12.75" hidden="1" customHeight="1" x14ac:dyDescent="0.2">
      <c r="A31" s="164" t="s">
        <v>29</v>
      </c>
      <c r="B31" s="165">
        <v>0</v>
      </c>
    </row>
    <row r="32" spans="1:2" x14ac:dyDescent="0.2">
      <c r="A32" s="166" t="s">
        <v>30</v>
      </c>
      <c r="B32" s="165">
        <v>-648998229</v>
      </c>
    </row>
    <row r="33" spans="1:2" x14ac:dyDescent="0.2">
      <c r="A33" s="166" t="s">
        <v>31</v>
      </c>
      <c r="B33" s="165">
        <v>-5785844</v>
      </c>
    </row>
    <row r="34" spans="1:2" x14ac:dyDescent="0.2">
      <c r="A34" s="163" t="s">
        <v>32</v>
      </c>
      <c r="B34" s="162">
        <v>-213592493</v>
      </c>
    </row>
    <row r="35" spans="1:2" x14ac:dyDescent="0.2">
      <c r="A35" s="167" t="s">
        <v>33</v>
      </c>
      <c r="B35" s="162">
        <v>-9043669</v>
      </c>
    </row>
    <row r="36" spans="1:2" x14ac:dyDescent="0.2">
      <c r="A36" s="166" t="s">
        <v>34</v>
      </c>
      <c r="B36" s="165">
        <v>-9425730</v>
      </c>
    </row>
    <row r="37" spans="1:2" x14ac:dyDescent="0.2">
      <c r="A37" s="166" t="s">
        <v>35</v>
      </c>
      <c r="B37" s="165">
        <v>382061</v>
      </c>
    </row>
    <row r="38" spans="1:2" x14ac:dyDescent="0.2">
      <c r="A38" s="167" t="s">
        <v>36</v>
      </c>
      <c r="B38" s="162">
        <v>-30980867</v>
      </c>
    </row>
    <row r="39" spans="1:2" x14ac:dyDescent="0.2">
      <c r="A39" s="166" t="s">
        <v>37</v>
      </c>
      <c r="B39" s="165">
        <v>-86394</v>
      </c>
    </row>
    <row r="40" spans="1:2" x14ac:dyDescent="0.2">
      <c r="A40" s="166" t="s">
        <v>38</v>
      </c>
      <c r="B40" s="165">
        <v>-4422020</v>
      </c>
    </row>
    <row r="41" spans="1:2" x14ac:dyDescent="0.2">
      <c r="A41" s="166" t="s">
        <v>39</v>
      </c>
      <c r="B41" s="165">
        <v>-26116130</v>
      </c>
    </row>
    <row r="42" spans="1:2" x14ac:dyDescent="0.2">
      <c r="A42" s="166" t="s">
        <v>40</v>
      </c>
      <c r="B42" s="165">
        <v>-100869</v>
      </c>
    </row>
    <row r="43" spans="1:2" x14ac:dyDescent="0.2">
      <c r="A43" s="166" t="s">
        <v>41</v>
      </c>
      <c r="B43" s="165">
        <v>904350</v>
      </c>
    </row>
    <row r="44" spans="1:2" x14ac:dyDescent="0.2">
      <c r="A44" s="166" t="s">
        <v>42</v>
      </c>
      <c r="B44" s="165">
        <v>-2682261</v>
      </c>
    </row>
    <row r="45" spans="1:2" x14ac:dyDescent="0.2">
      <c r="A45" s="166" t="s">
        <v>43</v>
      </c>
      <c r="B45" s="165">
        <v>587996</v>
      </c>
    </row>
    <row r="46" spans="1:2" x14ac:dyDescent="0.2">
      <c r="A46" s="166" t="s">
        <v>44</v>
      </c>
      <c r="B46" s="165">
        <v>934461</v>
      </c>
    </row>
    <row r="47" spans="1:2" x14ac:dyDescent="0.2">
      <c r="A47" s="167" t="s">
        <v>45</v>
      </c>
      <c r="B47" s="162">
        <v>45338033</v>
      </c>
    </row>
    <row r="48" spans="1:2" x14ac:dyDescent="0.2">
      <c r="A48" s="166" t="s">
        <v>46</v>
      </c>
      <c r="B48" s="165">
        <v>-115701</v>
      </c>
    </row>
    <row r="49" spans="1:2" x14ac:dyDescent="0.2">
      <c r="A49" s="166" t="s">
        <v>47</v>
      </c>
      <c r="B49" s="165">
        <v>253219</v>
      </c>
    </row>
    <row r="50" spans="1:2" x14ac:dyDescent="0.2">
      <c r="A50" s="166" t="s">
        <v>48</v>
      </c>
      <c r="B50" s="165">
        <v>21321699</v>
      </c>
    </row>
    <row r="51" spans="1:2" x14ac:dyDescent="0.2">
      <c r="A51" s="166" t="s">
        <v>49</v>
      </c>
      <c r="B51" s="165">
        <v>-108902</v>
      </c>
    </row>
    <row r="52" spans="1:2" x14ac:dyDescent="0.2">
      <c r="A52" s="166" t="s">
        <v>50</v>
      </c>
      <c r="B52" s="165">
        <v>23987718</v>
      </c>
    </row>
    <row r="53" spans="1:2" x14ac:dyDescent="0.2">
      <c r="A53" s="167" t="s">
        <v>51</v>
      </c>
      <c r="B53" s="162">
        <v>13200000</v>
      </c>
    </row>
    <row r="54" spans="1:2" x14ac:dyDescent="0.2">
      <c r="A54" s="166" t="s">
        <v>52</v>
      </c>
      <c r="B54" s="165">
        <v>13200000</v>
      </c>
    </row>
    <row r="55" spans="1:2" x14ac:dyDescent="0.2">
      <c r="A55" s="167" t="s">
        <v>53</v>
      </c>
      <c r="B55" s="162">
        <v>-232105990</v>
      </c>
    </row>
    <row r="56" spans="1:2" x14ac:dyDescent="0.2">
      <c r="A56" s="168" t="s">
        <v>54</v>
      </c>
      <c r="B56" s="165">
        <v>-248824990</v>
      </c>
    </row>
    <row r="57" spans="1:2" x14ac:dyDescent="0.2">
      <c r="A57" s="166" t="s">
        <v>55</v>
      </c>
      <c r="B57" s="165">
        <v>14319000</v>
      </c>
    </row>
    <row r="58" spans="1:2" x14ac:dyDescent="0.2">
      <c r="A58" s="168" t="s">
        <v>56</v>
      </c>
      <c r="B58" s="165">
        <v>1800000</v>
      </c>
    </row>
    <row r="59" spans="1:2" x14ac:dyDescent="0.2">
      <c r="A59" s="169" t="s">
        <v>57</v>
      </c>
      <c r="B59" s="165">
        <v>600000</v>
      </c>
    </row>
    <row r="60" spans="1:2" x14ac:dyDescent="0.2">
      <c r="A60" s="170"/>
      <c r="B60" s="165"/>
    </row>
    <row r="61" spans="1:2" x14ac:dyDescent="0.2">
      <c r="A61" s="171" t="s">
        <v>58</v>
      </c>
      <c r="B61" s="162">
        <v>1400000</v>
      </c>
    </row>
    <row r="62" spans="1:2" x14ac:dyDescent="0.2">
      <c r="A62" s="172" t="s">
        <v>59</v>
      </c>
      <c r="B62" s="165">
        <v>1400000</v>
      </c>
    </row>
    <row r="63" spans="1:2" x14ac:dyDescent="0.2">
      <c r="A63" s="3"/>
      <c r="B63" s="11"/>
    </row>
    <row r="64" spans="1:2" x14ac:dyDescent="0.2">
      <c r="A64" s="7"/>
      <c r="B64" s="12"/>
    </row>
    <row r="65" spans="1:2" x14ac:dyDescent="0.2">
      <c r="A65" s="4"/>
      <c r="B65" s="13"/>
    </row>
    <row r="66" spans="1:2" x14ac:dyDescent="0.2">
      <c r="A66" s="4"/>
      <c r="B66" s="13"/>
    </row>
    <row r="67" spans="1:2" x14ac:dyDescent="0.2">
      <c r="A67" s="4"/>
      <c r="B67" s="13"/>
    </row>
    <row r="68" spans="1:2" x14ac:dyDescent="0.2">
      <c r="A68" s="8"/>
      <c r="B68" s="14"/>
    </row>
    <row r="69" spans="1:2" x14ac:dyDescent="0.2">
      <c r="B69" s="13"/>
    </row>
    <row r="70" spans="1:2" x14ac:dyDescent="0.2">
      <c r="A70" s="9"/>
      <c r="B70" s="15"/>
    </row>
    <row r="71" spans="1:2" ht="15" x14ac:dyDescent="0.3">
      <c r="A71" s="10"/>
      <c r="B71" s="16"/>
    </row>
    <row r="72" spans="1:2" x14ac:dyDescent="0.2">
      <c r="B72" s="13"/>
    </row>
    <row r="73" spans="1:2" x14ac:dyDescent="0.2">
      <c r="B73" s="13"/>
    </row>
    <row r="74" spans="1:2" x14ac:dyDescent="0.2">
      <c r="B74" s="13"/>
    </row>
    <row r="75" spans="1:2" x14ac:dyDescent="0.2">
      <c r="B75" s="13"/>
    </row>
    <row r="76" spans="1:2" x14ac:dyDescent="0.2">
      <c r="B76" s="5"/>
    </row>
    <row r="77" spans="1:2" x14ac:dyDescent="0.2">
      <c r="B77" s="5"/>
    </row>
    <row r="78" spans="1:2" x14ac:dyDescent="0.2">
      <c r="B78" s="5"/>
    </row>
    <row r="79" spans="1:2" x14ac:dyDescent="0.2">
      <c r="B79" s="5"/>
    </row>
    <row r="80" spans="1:2" x14ac:dyDescent="0.2">
      <c r="B80" s="5"/>
    </row>
    <row r="81" spans="2:2" x14ac:dyDescent="0.2">
      <c r="B81" s="5"/>
    </row>
    <row r="82" spans="2:2" x14ac:dyDescent="0.2">
      <c r="B82" s="5"/>
    </row>
    <row r="83" spans="2:2" x14ac:dyDescent="0.2">
      <c r="B83" s="5"/>
    </row>
    <row r="84" spans="2:2" x14ac:dyDescent="0.2">
      <c r="B84" s="5"/>
    </row>
    <row r="85" spans="2:2" x14ac:dyDescent="0.2">
      <c r="B85" s="5"/>
    </row>
    <row r="86" spans="2:2" x14ac:dyDescent="0.2">
      <c r="B86" s="5"/>
    </row>
    <row r="87" spans="2:2" x14ac:dyDescent="0.2">
      <c r="B87" s="5"/>
    </row>
    <row r="88" spans="2:2" x14ac:dyDescent="0.2">
      <c r="B88" s="5"/>
    </row>
    <row r="89" spans="2:2" x14ac:dyDescent="0.2">
      <c r="B89" s="5"/>
    </row>
    <row r="90" spans="2:2" x14ac:dyDescent="0.2">
      <c r="B90" s="5"/>
    </row>
    <row r="91" spans="2:2" x14ac:dyDescent="0.2">
      <c r="B91" s="5"/>
    </row>
    <row r="92" spans="2:2" x14ac:dyDescent="0.2">
      <c r="B92" s="5"/>
    </row>
    <row r="93" spans="2:2" x14ac:dyDescent="0.2">
      <c r="B93" s="5"/>
    </row>
    <row r="94" spans="2:2" x14ac:dyDescent="0.2">
      <c r="B94" s="5"/>
    </row>
    <row r="95" spans="2:2" x14ac:dyDescent="0.2">
      <c r="B95" s="5"/>
    </row>
    <row r="96" spans="2:2" x14ac:dyDescent="0.2">
      <c r="B96" s="5"/>
    </row>
    <row r="97" spans="2:2" x14ac:dyDescent="0.2">
      <c r="B97" s="5"/>
    </row>
    <row r="98" spans="2:2" x14ac:dyDescent="0.2">
      <c r="B98" s="5"/>
    </row>
    <row r="99" spans="2:2" x14ac:dyDescent="0.2">
      <c r="B99" s="5"/>
    </row>
    <row r="100" spans="2:2" x14ac:dyDescent="0.2">
      <c r="B100" s="5"/>
    </row>
    <row r="101" spans="2:2" x14ac:dyDescent="0.2">
      <c r="B101" s="5"/>
    </row>
    <row r="102" spans="2:2" x14ac:dyDescent="0.2">
      <c r="B102" s="5"/>
    </row>
    <row r="103" spans="2:2" x14ac:dyDescent="0.2">
      <c r="B103" s="5"/>
    </row>
    <row r="104" spans="2:2" x14ac:dyDescent="0.2">
      <c r="B104" s="5"/>
    </row>
    <row r="105" spans="2:2" x14ac:dyDescent="0.2">
      <c r="B105" s="5"/>
    </row>
    <row r="106" spans="2:2" x14ac:dyDescent="0.2">
      <c r="B106" s="5"/>
    </row>
    <row r="107" spans="2:2" x14ac:dyDescent="0.2">
      <c r="B107" s="5"/>
    </row>
    <row r="108" spans="2:2" x14ac:dyDescent="0.2">
      <c r="B108" s="5"/>
    </row>
    <row r="109" spans="2:2" x14ac:dyDescent="0.2">
      <c r="B109" s="5"/>
    </row>
    <row r="110" spans="2:2" x14ac:dyDescent="0.2">
      <c r="B110" s="5"/>
    </row>
    <row r="111" spans="2:2" x14ac:dyDescent="0.2">
      <c r="B111" s="5"/>
    </row>
    <row r="112" spans="2:2" x14ac:dyDescent="0.2">
      <c r="B112" s="5"/>
    </row>
    <row r="113" spans="2:2" x14ac:dyDescent="0.2">
      <c r="B113" s="5"/>
    </row>
    <row r="114" spans="2:2" x14ac:dyDescent="0.2">
      <c r="B114" s="5"/>
    </row>
    <row r="115" spans="2:2" x14ac:dyDescent="0.2">
      <c r="B115" s="5"/>
    </row>
    <row r="116" spans="2:2" x14ac:dyDescent="0.2">
      <c r="B116" s="5"/>
    </row>
    <row r="117" spans="2:2" x14ac:dyDescent="0.2">
      <c r="B117" s="5"/>
    </row>
    <row r="118" spans="2:2" x14ac:dyDescent="0.2">
      <c r="B118" s="5"/>
    </row>
    <row r="119" spans="2:2" x14ac:dyDescent="0.2">
      <c r="B119" s="5"/>
    </row>
    <row r="120" spans="2:2" x14ac:dyDescent="0.2">
      <c r="B120" s="5"/>
    </row>
    <row r="121" spans="2:2" x14ac:dyDescent="0.2">
      <c r="B121" s="5"/>
    </row>
    <row r="122" spans="2:2" x14ac:dyDescent="0.2">
      <c r="B122" s="5"/>
    </row>
    <row r="123" spans="2:2" x14ac:dyDescent="0.2">
      <c r="B123" s="5"/>
    </row>
    <row r="124" spans="2:2" x14ac:dyDescent="0.2">
      <c r="B124" s="5"/>
    </row>
    <row r="125" spans="2:2" x14ac:dyDescent="0.2">
      <c r="B125" s="5"/>
    </row>
    <row r="126" spans="2:2" x14ac:dyDescent="0.2">
      <c r="B126" s="5"/>
    </row>
    <row r="127" spans="2:2" x14ac:dyDescent="0.2">
      <c r="B127" s="5"/>
    </row>
    <row r="128" spans="2:2" x14ac:dyDescent="0.2">
      <c r="B128" s="5"/>
    </row>
    <row r="129" spans="2:2" x14ac:dyDescent="0.2">
      <c r="B129" s="5"/>
    </row>
    <row r="130" spans="2:2" x14ac:dyDescent="0.2">
      <c r="B130" s="5"/>
    </row>
    <row r="131" spans="2:2" x14ac:dyDescent="0.2">
      <c r="B131" s="5"/>
    </row>
    <row r="132" spans="2:2" x14ac:dyDescent="0.2">
      <c r="B132" s="5"/>
    </row>
    <row r="133" spans="2:2" x14ac:dyDescent="0.2">
      <c r="B133" s="5"/>
    </row>
    <row r="134" spans="2:2" x14ac:dyDescent="0.2">
      <c r="B134" s="5"/>
    </row>
    <row r="135" spans="2:2" x14ac:dyDescent="0.2">
      <c r="B135" s="5"/>
    </row>
    <row r="136" spans="2:2" x14ac:dyDescent="0.2">
      <c r="B136" s="5"/>
    </row>
    <row r="137" spans="2:2" x14ac:dyDescent="0.2">
      <c r="B137" s="5"/>
    </row>
    <row r="138" spans="2:2" x14ac:dyDescent="0.2">
      <c r="B138" s="5"/>
    </row>
    <row r="139" spans="2:2" x14ac:dyDescent="0.2">
      <c r="B139" s="5"/>
    </row>
    <row r="140" spans="2:2" x14ac:dyDescent="0.2">
      <c r="B140" s="5"/>
    </row>
    <row r="141" spans="2:2" x14ac:dyDescent="0.2">
      <c r="B141" s="5"/>
    </row>
    <row r="142" spans="2:2" x14ac:dyDescent="0.2">
      <c r="B142" s="5"/>
    </row>
    <row r="143" spans="2:2" x14ac:dyDescent="0.2">
      <c r="B143" s="5"/>
    </row>
    <row r="144" spans="2:2" x14ac:dyDescent="0.2">
      <c r="B144" s="5"/>
    </row>
    <row r="145" spans="2:2" x14ac:dyDescent="0.2">
      <c r="B145" s="5"/>
    </row>
    <row r="146" spans="2:2" x14ac:dyDescent="0.2">
      <c r="B146" s="5"/>
    </row>
    <row r="147" spans="2:2" x14ac:dyDescent="0.2">
      <c r="B147" s="5"/>
    </row>
    <row r="148" spans="2:2" x14ac:dyDescent="0.2">
      <c r="B148" s="5"/>
    </row>
    <row r="149" spans="2:2" x14ac:dyDescent="0.2">
      <c r="B149" s="5"/>
    </row>
    <row r="150" spans="2:2" x14ac:dyDescent="0.2">
      <c r="B150" s="5"/>
    </row>
    <row r="151" spans="2:2" x14ac:dyDescent="0.2">
      <c r="B151" s="5"/>
    </row>
    <row r="152" spans="2:2" x14ac:dyDescent="0.2">
      <c r="B152" s="5"/>
    </row>
    <row r="153" spans="2:2" x14ac:dyDescent="0.2">
      <c r="B153" s="5"/>
    </row>
    <row r="154" spans="2:2" x14ac:dyDescent="0.2">
      <c r="B154" s="5"/>
    </row>
    <row r="155" spans="2:2" x14ac:dyDescent="0.2">
      <c r="B155" s="5"/>
    </row>
    <row r="156" spans="2:2" x14ac:dyDescent="0.2">
      <c r="B156" s="5"/>
    </row>
    <row r="157" spans="2:2" x14ac:dyDescent="0.2">
      <c r="B157" s="5"/>
    </row>
    <row r="158" spans="2:2" x14ac:dyDescent="0.2">
      <c r="B158" s="5"/>
    </row>
    <row r="159" spans="2:2" x14ac:dyDescent="0.2">
      <c r="B159" s="5"/>
    </row>
    <row r="160" spans="2:2" x14ac:dyDescent="0.2">
      <c r="B160" s="5"/>
    </row>
    <row r="161" spans="2:2" x14ac:dyDescent="0.2">
      <c r="B161" s="5"/>
    </row>
    <row r="162" spans="2:2" x14ac:dyDescent="0.2">
      <c r="B162" s="5"/>
    </row>
    <row r="163" spans="2:2" x14ac:dyDescent="0.2">
      <c r="B163" s="5"/>
    </row>
    <row r="164" spans="2:2" x14ac:dyDescent="0.2">
      <c r="B164" s="5"/>
    </row>
    <row r="165" spans="2:2" x14ac:dyDescent="0.2">
      <c r="B165" s="5"/>
    </row>
    <row r="166" spans="2:2" x14ac:dyDescent="0.2">
      <c r="B166" s="5"/>
    </row>
    <row r="167" spans="2:2" x14ac:dyDescent="0.2">
      <c r="B167" s="5"/>
    </row>
    <row r="168" spans="2:2" x14ac:dyDescent="0.2">
      <c r="B168" s="5"/>
    </row>
    <row r="169" spans="2:2" x14ac:dyDescent="0.2">
      <c r="B169" s="5"/>
    </row>
    <row r="170" spans="2:2" x14ac:dyDescent="0.2">
      <c r="B170" s="5"/>
    </row>
    <row r="171" spans="2:2" x14ac:dyDescent="0.2">
      <c r="B171" s="5"/>
    </row>
    <row r="172" spans="2:2" x14ac:dyDescent="0.2">
      <c r="B172" s="5"/>
    </row>
    <row r="173" spans="2:2" x14ac:dyDescent="0.2">
      <c r="B173" s="5"/>
    </row>
    <row r="174" spans="2:2" x14ac:dyDescent="0.2">
      <c r="B174" s="5"/>
    </row>
    <row r="175" spans="2:2" x14ac:dyDescent="0.2">
      <c r="B175" s="5"/>
    </row>
    <row r="176" spans="2:2" x14ac:dyDescent="0.2">
      <c r="B176" s="5"/>
    </row>
    <row r="177" spans="2:2" x14ac:dyDescent="0.2">
      <c r="B177" s="5"/>
    </row>
    <row r="178" spans="2:2" x14ac:dyDescent="0.2">
      <c r="B178" s="5"/>
    </row>
    <row r="179" spans="2:2" x14ac:dyDescent="0.2">
      <c r="B179" s="5"/>
    </row>
    <row r="180" spans="2:2" x14ac:dyDescent="0.2">
      <c r="B180" s="5"/>
    </row>
    <row r="181" spans="2:2" x14ac:dyDescent="0.2">
      <c r="B181" s="5"/>
    </row>
    <row r="182" spans="2:2" x14ac:dyDescent="0.2">
      <c r="B182" s="5"/>
    </row>
    <row r="183" spans="2:2" x14ac:dyDescent="0.2">
      <c r="B183" s="5"/>
    </row>
    <row r="184" spans="2:2" x14ac:dyDescent="0.2">
      <c r="B184" s="5"/>
    </row>
    <row r="185" spans="2:2" x14ac:dyDescent="0.2">
      <c r="B185" s="5"/>
    </row>
    <row r="186" spans="2:2" x14ac:dyDescent="0.2">
      <c r="B186" s="5"/>
    </row>
    <row r="187" spans="2:2" x14ac:dyDescent="0.2">
      <c r="B187" s="5"/>
    </row>
    <row r="188" spans="2:2" x14ac:dyDescent="0.2">
      <c r="B188" s="5"/>
    </row>
    <row r="189" spans="2:2" x14ac:dyDescent="0.2">
      <c r="B189" s="5"/>
    </row>
    <row r="190" spans="2:2" x14ac:dyDescent="0.2">
      <c r="B190" s="5"/>
    </row>
    <row r="191" spans="2:2" x14ac:dyDescent="0.2">
      <c r="B191" s="5"/>
    </row>
    <row r="192" spans="2:2" x14ac:dyDescent="0.2">
      <c r="B192" s="5"/>
    </row>
    <row r="193" spans="2:2" x14ac:dyDescent="0.2">
      <c r="B193" s="5"/>
    </row>
    <row r="194" spans="2:2" x14ac:dyDescent="0.2">
      <c r="B194" s="5"/>
    </row>
    <row r="195" spans="2:2" x14ac:dyDescent="0.2">
      <c r="B195" s="5"/>
    </row>
    <row r="196" spans="2:2" x14ac:dyDescent="0.2">
      <c r="B196" s="5"/>
    </row>
    <row r="197" spans="2:2" x14ac:dyDescent="0.2">
      <c r="B197" s="5"/>
    </row>
    <row r="198" spans="2:2" x14ac:dyDescent="0.2">
      <c r="B198" s="5"/>
    </row>
    <row r="199" spans="2:2" x14ac:dyDescent="0.2">
      <c r="B199" s="5"/>
    </row>
    <row r="200" spans="2:2" x14ac:dyDescent="0.2">
      <c r="B200" s="5"/>
    </row>
    <row r="201" spans="2:2" x14ac:dyDescent="0.2">
      <c r="B201" s="5"/>
    </row>
    <row r="202" spans="2:2" x14ac:dyDescent="0.2">
      <c r="B202" s="5"/>
    </row>
    <row r="203" spans="2:2" x14ac:dyDescent="0.2">
      <c r="B203" s="5"/>
    </row>
    <row r="204" spans="2:2" x14ac:dyDescent="0.2">
      <c r="B204" s="5"/>
    </row>
    <row r="205" spans="2:2" x14ac:dyDescent="0.2">
      <c r="B205" s="5"/>
    </row>
    <row r="206" spans="2:2" x14ac:dyDescent="0.2">
      <c r="B206" s="5"/>
    </row>
    <row r="207" spans="2:2" x14ac:dyDescent="0.2">
      <c r="B207" s="5"/>
    </row>
    <row r="208" spans="2:2" x14ac:dyDescent="0.2">
      <c r="B208" s="5"/>
    </row>
    <row r="209" spans="2:2" x14ac:dyDescent="0.2">
      <c r="B209" s="5"/>
    </row>
    <row r="210" spans="2:2" x14ac:dyDescent="0.2">
      <c r="B210" s="5"/>
    </row>
    <row r="211" spans="2:2" x14ac:dyDescent="0.2">
      <c r="B211" s="5"/>
    </row>
    <row r="212" spans="2:2" x14ac:dyDescent="0.2">
      <c r="B212" s="5"/>
    </row>
    <row r="213" spans="2:2" x14ac:dyDescent="0.2">
      <c r="B213" s="5"/>
    </row>
    <row r="214" spans="2:2" x14ac:dyDescent="0.2">
      <c r="B214" s="5"/>
    </row>
    <row r="215" spans="2:2" x14ac:dyDescent="0.2">
      <c r="B215" s="5"/>
    </row>
    <row r="216" spans="2:2" x14ac:dyDescent="0.2">
      <c r="B216" s="5"/>
    </row>
    <row r="217" spans="2:2" x14ac:dyDescent="0.2">
      <c r="B217" s="5"/>
    </row>
    <row r="218" spans="2:2" x14ac:dyDescent="0.2">
      <c r="B218" s="5"/>
    </row>
    <row r="219" spans="2:2" x14ac:dyDescent="0.2">
      <c r="B219" s="5"/>
    </row>
    <row r="220" spans="2:2" x14ac:dyDescent="0.2">
      <c r="B220" s="5"/>
    </row>
    <row r="221" spans="2:2" x14ac:dyDescent="0.2">
      <c r="B221" s="5"/>
    </row>
    <row r="222" spans="2:2" x14ac:dyDescent="0.2">
      <c r="B222" s="5"/>
    </row>
    <row r="223" spans="2:2" x14ac:dyDescent="0.2">
      <c r="B223" s="5"/>
    </row>
  </sheetData>
  <mergeCells count="2">
    <mergeCell ref="A2:B2"/>
    <mergeCell ref="A3:B3"/>
  </mergeCells>
  <printOptions horizontalCentered="1"/>
  <pageMargins left="0.59055118110236227" right="0.59055118110236227" top="1.3779527559055118" bottom="1.2598425196850394" header="0.59055118110236227" footer="1.1023622047244095"/>
  <pageSetup scale="95" orientation="portrait" r:id="rId1"/>
  <headerFooter>
    <oddHeader>&amp;R&amp;"Arial,Negrita" Ley N&amp;Xo&amp;X. 877
Anexo N&amp;Xo&amp;X. I</oddHeader>
    <oddFooter>&amp;C&amp;P/&amp;N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showGridLines="0" workbookViewId="0">
      <selection activeCell="C4" sqref="C4"/>
    </sheetView>
  </sheetViews>
  <sheetFormatPr baseColWidth="10" defaultRowHeight="15" x14ac:dyDescent="0.25"/>
  <cols>
    <col min="1" max="1" width="3.42578125" customWidth="1"/>
    <col min="2" max="2" width="6.5703125" customWidth="1"/>
    <col min="3" max="3" width="46.140625" customWidth="1"/>
    <col min="4" max="4" width="31.85546875" customWidth="1"/>
    <col min="5" max="5" width="14.85546875" bestFit="1" customWidth="1"/>
  </cols>
  <sheetData>
    <row r="1" spans="1:6" x14ac:dyDescent="0.25">
      <c r="A1" s="735" t="s">
        <v>920</v>
      </c>
      <c r="B1" s="735"/>
      <c r="C1" s="735"/>
      <c r="D1" s="735"/>
      <c r="E1" s="21"/>
      <c r="F1" s="21"/>
    </row>
    <row r="2" spans="1:6" x14ac:dyDescent="0.25">
      <c r="A2" s="736" t="s">
        <v>945</v>
      </c>
      <c r="B2" s="736"/>
      <c r="C2" s="736"/>
      <c r="D2" s="736"/>
      <c r="E2" s="21"/>
      <c r="F2" s="21"/>
    </row>
    <row r="3" spans="1:6" x14ac:dyDescent="0.25">
      <c r="A3" s="736" t="s">
        <v>6</v>
      </c>
      <c r="B3" s="736"/>
      <c r="C3" s="736"/>
      <c r="D3" s="736"/>
      <c r="E3" s="21"/>
      <c r="F3" s="21"/>
    </row>
    <row r="4" spans="1:6" x14ac:dyDescent="0.25">
      <c r="A4" s="21"/>
      <c r="B4" s="21"/>
      <c r="C4" s="21"/>
      <c r="D4" s="24"/>
      <c r="E4" s="21"/>
      <c r="F4" s="21"/>
    </row>
    <row r="5" spans="1:6" ht="15.75" thickBot="1" x14ac:dyDescent="0.3">
      <c r="A5" s="21"/>
      <c r="B5" s="21"/>
      <c r="C5" s="21"/>
      <c r="D5" s="21"/>
      <c r="E5" s="21"/>
      <c r="F5" s="21"/>
    </row>
    <row r="6" spans="1:6" x14ac:dyDescent="0.25">
      <c r="A6" s="643"/>
      <c r="B6" s="644"/>
      <c r="C6" s="644"/>
      <c r="D6" s="645"/>
    </row>
    <row r="7" spans="1:6" x14ac:dyDescent="0.25">
      <c r="A7" s="737" t="s">
        <v>2</v>
      </c>
      <c r="B7" s="738"/>
      <c r="C7" s="738"/>
      <c r="D7" s="646" t="s">
        <v>246</v>
      </c>
    </row>
    <row r="8" spans="1:6" ht="15.75" thickBot="1" x14ac:dyDescent="0.3">
      <c r="A8" s="647"/>
      <c r="B8" s="648"/>
      <c r="C8" s="648"/>
      <c r="D8" s="649"/>
    </row>
    <row r="9" spans="1:6" x14ac:dyDescent="0.25">
      <c r="A9" s="662"/>
      <c r="B9" s="650"/>
      <c r="C9" s="651"/>
      <c r="D9" s="667"/>
    </row>
    <row r="10" spans="1:6" ht="19.5" x14ac:dyDescent="0.55000000000000004">
      <c r="A10" s="663" t="s">
        <v>245</v>
      </c>
      <c r="B10" s="652"/>
      <c r="C10" s="652"/>
      <c r="D10" s="668">
        <f>+D12</f>
        <v>-1212700000</v>
      </c>
      <c r="E10" s="17"/>
    </row>
    <row r="11" spans="1:6" x14ac:dyDescent="0.25">
      <c r="A11" s="664"/>
      <c r="B11" s="653"/>
      <c r="C11" s="652"/>
      <c r="D11" s="669"/>
      <c r="E11" s="17"/>
    </row>
    <row r="12" spans="1:6" x14ac:dyDescent="0.25">
      <c r="A12" s="664"/>
      <c r="B12" s="654" t="s">
        <v>250</v>
      </c>
      <c r="C12" s="652"/>
      <c r="D12" s="670">
        <f>+D13+D15+D17</f>
        <v>-1212700000</v>
      </c>
    </row>
    <row r="13" spans="1:6" x14ac:dyDescent="0.25">
      <c r="A13" s="664"/>
      <c r="B13" s="653"/>
      <c r="C13" s="655" t="s">
        <v>251</v>
      </c>
      <c r="D13" s="670">
        <f>SUM(D14:D14)</f>
        <v>-19000000</v>
      </c>
    </row>
    <row r="14" spans="1:6" x14ac:dyDescent="0.25">
      <c r="A14" s="664"/>
      <c r="B14" s="653"/>
      <c r="C14" s="652" t="s">
        <v>252</v>
      </c>
      <c r="D14" s="671">
        <v>-19000000</v>
      </c>
    </row>
    <row r="15" spans="1:6" x14ac:dyDescent="0.25">
      <c r="A15" s="664"/>
      <c r="B15" s="653"/>
      <c r="C15" s="655" t="s">
        <v>254</v>
      </c>
      <c r="D15" s="670">
        <f>+D16</f>
        <v>-170000000</v>
      </c>
    </row>
    <row r="16" spans="1:6" x14ac:dyDescent="0.25">
      <c r="A16" s="664"/>
      <c r="B16" s="653"/>
      <c r="C16" s="652" t="s">
        <v>255</v>
      </c>
      <c r="D16" s="671">
        <v>-170000000</v>
      </c>
    </row>
    <row r="17" spans="1:4" x14ac:dyDescent="0.25">
      <c r="A17" s="664"/>
      <c r="B17" s="653"/>
      <c r="C17" s="655" t="s">
        <v>256</v>
      </c>
      <c r="D17" s="670">
        <f>SUM(D18:D19)</f>
        <v>-1023700000</v>
      </c>
    </row>
    <row r="18" spans="1:4" x14ac:dyDescent="0.25">
      <c r="A18" s="664"/>
      <c r="B18" s="653"/>
      <c r="C18" s="652" t="s">
        <v>257</v>
      </c>
      <c r="D18" s="671">
        <f>-837400000-128000</f>
        <v>-837528000</v>
      </c>
    </row>
    <row r="19" spans="1:4" x14ac:dyDescent="0.25">
      <c r="A19" s="664"/>
      <c r="B19" s="653"/>
      <c r="C19" s="652" t="s">
        <v>258</v>
      </c>
      <c r="D19" s="671">
        <v>-186172000</v>
      </c>
    </row>
    <row r="20" spans="1:4" x14ac:dyDescent="0.25">
      <c r="A20" s="664"/>
      <c r="B20" s="653"/>
      <c r="C20" s="652"/>
      <c r="D20" s="671"/>
    </row>
    <row r="21" spans="1:4" ht="19.5" x14ac:dyDescent="0.55000000000000004">
      <c r="A21" s="663" t="s">
        <v>260</v>
      </c>
      <c r="B21" s="652"/>
      <c r="C21" s="652"/>
      <c r="D21" s="672">
        <f>+D23+D26</f>
        <v>-140000000</v>
      </c>
    </row>
    <row r="22" spans="1:4" x14ac:dyDescent="0.25">
      <c r="A22" s="665"/>
      <c r="B22" s="653"/>
      <c r="C22" s="652"/>
      <c r="D22" s="670"/>
    </row>
    <row r="23" spans="1:4" x14ac:dyDescent="0.25">
      <c r="A23" s="664"/>
      <c r="B23" s="654" t="s">
        <v>264</v>
      </c>
      <c r="C23" s="652"/>
      <c r="D23" s="670">
        <f>+D24</f>
        <v>-154200000</v>
      </c>
    </row>
    <row r="24" spans="1:4" x14ac:dyDescent="0.25">
      <c r="A24" s="664"/>
      <c r="B24" s="653"/>
      <c r="C24" s="652" t="s">
        <v>265</v>
      </c>
      <c r="D24" s="671">
        <v>-154200000</v>
      </c>
    </row>
    <row r="25" spans="1:4" x14ac:dyDescent="0.25">
      <c r="A25" s="664"/>
      <c r="B25" s="653"/>
      <c r="C25" s="652"/>
      <c r="D25" s="673"/>
    </row>
    <row r="26" spans="1:4" x14ac:dyDescent="0.25">
      <c r="A26" s="664"/>
      <c r="B26" s="654" t="s">
        <v>268</v>
      </c>
      <c r="C26" s="652"/>
      <c r="D26" s="670">
        <f>+D27</f>
        <v>14200000</v>
      </c>
    </row>
    <row r="27" spans="1:4" x14ac:dyDescent="0.25">
      <c r="A27" s="664"/>
      <c r="B27" s="653"/>
      <c r="C27" s="652" t="s">
        <v>267</v>
      </c>
      <c r="D27" s="671">
        <v>14200000</v>
      </c>
    </row>
    <row r="28" spans="1:4" ht="15.75" thickBot="1" x14ac:dyDescent="0.3">
      <c r="A28" s="666"/>
      <c r="B28" s="656"/>
      <c r="C28" s="657"/>
      <c r="D28" s="674"/>
    </row>
    <row r="29" spans="1:4" x14ac:dyDescent="0.25">
      <c r="A29" s="643"/>
      <c r="B29" s="644"/>
      <c r="C29" s="644"/>
      <c r="D29" s="645"/>
    </row>
    <row r="30" spans="1:4" x14ac:dyDescent="0.25">
      <c r="A30" s="658"/>
      <c r="B30" s="659" t="s">
        <v>962</v>
      </c>
      <c r="C30" s="659"/>
      <c r="D30" s="660">
        <f>+D10+D21</f>
        <v>-1352700000</v>
      </c>
    </row>
    <row r="31" spans="1:4" ht="15.75" thickBot="1" x14ac:dyDescent="0.3">
      <c r="A31" s="647"/>
      <c r="B31" s="648"/>
      <c r="C31" s="648"/>
      <c r="D31" s="661"/>
    </row>
  </sheetData>
  <mergeCells count="4">
    <mergeCell ref="A1:D1"/>
    <mergeCell ref="A2:D2"/>
    <mergeCell ref="A3:D3"/>
    <mergeCell ref="A7:C7"/>
  </mergeCells>
  <printOptions horizontalCentered="1"/>
  <pageMargins left="0.59055118110236227" right="0.59055118110236227" top="1.3779527559055118" bottom="1.1811023622047245" header="0.98425196850393704" footer="1.1023622047244095"/>
  <pageSetup orientation="portrait" r:id="rId1"/>
  <headerFooter>
    <oddHeader>&amp;R&amp;"Arial,Negrita"&amp;9Ley N&amp;Xo&amp;X. 877&amp;K00+000......   ...........&amp;K01+000
Anexo N&amp;Xo&amp;X. VI&amp;K00+000..................</oddHeader>
    <oddFooter>&amp;C&amp;"-,Negrita"&amp;9&amp;P/&amp;N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9"/>
  <sheetViews>
    <sheetView topLeftCell="A18" zoomScaleNormal="100" workbookViewId="0">
      <selection activeCell="B49" sqref="B49"/>
    </sheetView>
  </sheetViews>
  <sheetFormatPr baseColWidth="10" defaultColWidth="11.42578125" defaultRowHeight="14.25" x14ac:dyDescent="0.2"/>
  <cols>
    <col min="1" max="1" width="8.140625" style="66" customWidth="1"/>
    <col min="2" max="2" width="87.7109375" style="66" customWidth="1"/>
    <col min="3" max="3" width="12.5703125" style="66" customWidth="1"/>
    <col min="4" max="4" width="19.140625" style="66" customWidth="1"/>
    <col min="5" max="6" width="11.42578125" style="66"/>
    <col min="7" max="7" width="14" style="66" customWidth="1"/>
    <col min="8" max="16384" width="11.42578125" style="66"/>
  </cols>
  <sheetData>
    <row r="1" spans="1:7" x14ac:dyDescent="0.2">
      <c r="A1" s="685" t="s">
        <v>920</v>
      </c>
      <c r="B1" s="686"/>
      <c r="C1" s="686"/>
      <c r="D1" s="687"/>
    </row>
    <row r="2" spans="1:7" x14ac:dyDescent="0.2">
      <c r="A2" s="688" t="s">
        <v>63</v>
      </c>
      <c r="B2" s="689"/>
      <c r="C2" s="689"/>
      <c r="D2" s="690"/>
    </row>
    <row r="3" spans="1:7" x14ac:dyDescent="0.2">
      <c r="A3" s="688" t="s">
        <v>813</v>
      </c>
      <c r="B3" s="689"/>
      <c r="C3" s="689"/>
      <c r="D3" s="70"/>
    </row>
    <row r="4" spans="1:7" ht="16.5" thickBot="1" x14ac:dyDescent="0.3">
      <c r="A4" s="131"/>
      <c r="B4" s="132"/>
      <c r="C4" s="133"/>
      <c r="D4" s="134"/>
    </row>
    <row r="5" spans="1:7" ht="15" x14ac:dyDescent="0.2">
      <c r="A5" s="138"/>
      <c r="B5" s="139"/>
      <c r="C5" s="140"/>
      <c r="D5" s="141"/>
    </row>
    <row r="6" spans="1:7" x14ac:dyDescent="0.2">
      <c r="A6" s="71" t="s">
        <v>1</v>
      </c>
      <c r="B6" s="72" t="s">
        <v>2</v>
      </c>
      <c r="C6" s="72" t="s">
        <v>3</v>
      </c>
      <c r="D6" s="73" t="s">
        <v>4</v>
      </c>
    </row>
    <row r="7" spans="1:7" ht="15.75" thickBot="1" x14ac:dyDescent="0.25">
      <c r="A7" s="142"/>
      <c r="B7" s="143"/>
      <c r="C7" s="144"/>
      <c r="D7" s="145"/>
    </row>
    <row r="8" spans="1:7" x14ac:dyDescent="0.2">
      <c r="A8" s="135"/>
      <c r="B8" s="136"/>
      <c r="C8" s="136"/>
      <c r="D8" s="137"/>
    </row>
    <row r="9" spans="1:7" x14ac:dyDescent="0.2">
      <c r="A9" s="76" t="s">
        <v>128</v>
      </c>
      <c r="B9" s="77"/>
      <c r="C9" s="78">
        <f>+C10</f>
        <v>4097184</v>
      </c>
      <c r="D9" s="79"/>
    </row>
    <row r="10" spans="1:7" x14ac:dyDescent="0.2">
      <c r="A10" s="76"/>
      <c r="B10" s="80" t="s">
        <v>94</v>
      </c>
      <c r="C10" s="78">
        <f>+C11</f>
        <v>4097184</v>
      </c>
      <c r="D10" s="79"/>
    </row>
    <row r="11" spans="1:7" x14ac:dyDescent="0.2">
      <c r="A11" s="76"/>
      <c r="B11" s="80" t="s">
        <v>73</v>
      </c>
      <c r="C11" s="78">
        <f>SUM(C12:C12)</f>
        <v>4097184</v>
      </c>
      <c r="D11" s="79"/>
    </row>
    <row r="12" spans="1:7" x14ac:dyDescent="0.2">
      <c r="A12" s="81"/>
      <c r="B12" s="82" t="s">
        <v>129</v>
      </c>
      <c r="C12" s="83">
        <v>4097184</v>
      </c>
      <c r="D12" s="79" t="s">
        <v>68</v>
      </c>
    </row>
    <row r="13" spans="1:7" x14ac:dyDescent="0.2">
      <c r="A13" s="81"/>
      <c r="B13" s="84"/>
      <c r="C13" s="85"/>
      <c r="D13" s="79"/>
      <c r="G13" s="33"/>
    </row>
    <row r="14" spans="1:7" x14ac:dyDescent="0.2">
      <c r="A14" s="86" t="s">
        <v>210</v>
      </c>
      <c r="B14" s="77"/>
      <c r="C14" s="78">
        <f>+C15+C21</f>
        <v>11444337</v>
      </c>
      <c r="D14" s="79"/>
      <c r="G14" s="33"/>
    </row>
    <row r="15" spans="1:7" x14ac:dyDescent="0.2">
      <c r="A15" s="76"/>
      <c r="B15" s="80" t="s">
        <v>66</v>
      </c>
      <c r="C15" s="78">
        <f>SUM(C16:C19)</f>
        <v>4544337</v>
      </c>
      <c r="D15" s="79"/>
      <c r="G15" s="34"/>
    </row>
    <row r="16" spans="1:7" x14ac:dyDescent="0.2">
      <c r="A16" s="87">
        <v>114</v>
      </c>
      <c r="B16" s="82" t="s">
        <v>211</v>
      </c>
      <c r="C16" s="88">
        <v>180917</v>
      </c>
      <c r="D16" s="79" t="s">
        <v>68</v>
      </c>
      <c r="G16" s="34"/>
    </row>
    <row r="17" spans="1:7" x14ac:dyDescent="0.2">
      <c r="A17" s="87">
        <v>131</v>
      </c>
      <c r="B17" s="82" t="s">
        <v>135</v>
      </c>
      <c r="C17" s="88">
        <v>4240752</v>
      </c>
      <c r="D17" s="79" t="s">
        <v>68</v>
      </c>
      <c r="G17" s="67"/>
    </row>
    <row r="18" spans="1:7" x14ac:dyDescent="0.2">
      <c r="A18" s="87">
        <v>193</v>
      </c>
      <c r="B18" s="82" t="s">
        <v>207</v>
      </c>
      <c r="C18" s="88">
        <v>35774</v>
      </c>
      <c r="D18" s="79" t="s">
        <v>68</v>
      </c>
    </row>
    <row r="19" spans="1:7" x14ac:dyDescent="0.2">
      <c r="A19" s="87">
        <v>581</v>
      </c>
      <c r="B19" s="82" t="s">
        <v>140</v>
      </c>
      <c r="C19" s="88">
        <v>86894</v>
      </c>
      <c r="D19" s="79" t="s">
        <v>68</v>
      </c>
    </row>
    <row r="20" spans="1:7" x14ac:dyDescent="0.2">
      <c r="A20" s="87"/>
      <c r="B20" s="82"/>
      <c r="C20" s="88"/>
      <c r="D20" s="79"/>
    </row>
    <row r="21" spans="1:7" x14ac:dyDescent="0.2">
      <c r="A21" s="81"/>
      <c r="B21" s="80" t="s">
        <v>94</v>
      </c>
      <c r="C21" s="78">
        <f>+C24+C22</f>
        <v>6900000</v>
      </c>
      <c r="D21" s="79"/>
    </row>
    <row r="22" spans="1:7" x14ac:dyDescent="0.2">
      <c r="A22" s="89"/>
      <c r="B22" s="84" t="s">
        <v>73</v>
      </c>
      <c r="C22" s="78">
        <f>SUM(C23)</f>
        <v>6300000</v>
      </c>
      <c r="D22" s="79"/>
    </row>
    <row r="23" spans="1:7" ht="22.5" x14ac:dyDescent="0.2">
      <c r="A23" s="87"/>
      <c r="B23" s="90" t="s">
        <v>212</v>
      </c>
      <c r="C23" s="83">
        <v>6300000</v>
      </c>
      <c r="D23" s="79" t="s">
        <v>213</v>
      </c>
    </row>
    <row r="24" spans="1:7" x14ac:dyDescent="0.2">
      <c r="A24" s="81"/>
      <c r="B24" s="80" t="s">
        <v>125</v>
      </c>
      <c r="C24" s="78">
        <f>SUM(C25:C25)</f>
        <v>600000</v>
      </c>
      <c r="D24" s="79"/>
    </row>
    <row r="25" spans="1:7" x14ac:dyDescent="0.2">
      <c r="A25" s="87">
        <v>437</v>
      </c>
      <c r="B25" s="82" t="s">
        <v>209</v>
      </c>
      <c r="C25" s="88">
        <v>600000</v>
      </c>
      <c r="D25" s="79" t="s">
        <v>68</v>
      </c>
    </row>
    <row r="26" spans="1:7" x14ac:dyDescent="0.2">
      <c r="A26" s="81"/>
      <c r="B26" s="84"/>
      <c r="C26" s="85"/>
      <c r="D26" s="79"/>
    </row>
    <row r="27" spans="1:7" x14ac:dyDescent="0.2">
      <c r="A27" s="76" t="s">
        <v>201</v>
      </c>
      <c r="B27" s="77"/>
      <c r="C27" s="78">
        <f>+C28+C38</f>
        <v>4277272</v>
      </c>
      <c r="D27" s="79"/>
    </row>
    <row r="28" spans="1:7" x14ac:dyDescent="0.2">
      <c r="A28" s="76"/>
      <c r="B28" s="80" t="s">
        <v>66</v>
      </c>
      <c r="C28" s="78">
        <f>SUM(C29:C36)</f>
        <v>4153772</v>
      </c>
      <c r="D28" s="79"/>
    </row>
    <row r="29" spans="1:7" x14ac:dyDescent="0.2">
      <c r="A29" s="87">
        <v>111</v>
      </c>
      <c r="B29" s="82" t="s">
        <v>90</v>
      </c>
      <c r="C29" s="88">
        <v>1087234</v>
      </c>
      <c r="D29" s="79" t="s">
        <v>68</v>
      </c>
    </row>
    <row r="30" spans="1:7" x14ac:dyDescent="0.2">
      <c r="A30" s="87">
        <v>113</v>
      </c>
      <c r="B30" s="82" t="s">
        <v>202</v>
      </c>
      <c r="C30" s="88">
        <v>308726</v>
      </c>
      <c r="D30" s="79" t="s">
        <v>68</v>
      </c>
    </row>
    <row r="31" spans="1:7" x14ac:dyDescent="0.2">
      <c r="A31" s="87">
        <v>114</v>
      </c>
      <c r="B31" s="82" t="s">
        <v>159</v>
      </c>
      <c r="C31" s="88">
        <v>1523785</v>
      </c>
      <c r="D31" s="79" t="s">
        <v>68</v>
      </c>
    </row>
    <row r="32" spans="1:7" x14ac:dyDescent="0.2">
      <c r="A32" s="87">
        <v>116</v>
      </c>
      <c r="B32" s="82" t="s">
        <v>203</v>
      </c>
      <c r="C32" s="88">
        <v>144407</v>
      </c>
      <c r="D32" s="79" t="s">
        <v>68</v>
      </c>
    </row>
    <row r="33" spans="1:4" x14ac:dyDescent="0.2">
      <c r="A33" s="87">
        <v>122</v>
      </c>
      <c r="B33" s="82" t="s">
        <v>204</v>
      </c>
      <c r="C33" s="88">
        <v>621400</v>
      </c>
      <c r="D33" s="79" t="s">
        <v>68</v>
      </c>
    </row>
    <row r="34" spans="1:4" x14ac:dyDescent="0.2">
      <c r="A34" s="87">
        <v>151</v>
      </c>
      <c r="B34" s="82" t="s">
        <v>205</v>
      </c>
      <c r="C34" s="88">
        <v>181900</v>
      </c>
      <c r="D34" s="79" t="s">
        <v>68</v>
      </c>
    </row>
    <row r="35" spans="1:4" x14ac:dyDescent="0.2">
      <c r="A35" s="87">
        <v>161</v>
      </c>
      <c r="B35" s="82" t="s">
        <v>206</v>
      </c>
      <c r="C35" s="88">
        <v>283833</v>
      </c>
      <c r="D35" s="79" t="s">
        <v>68</v>
      </c>
    </row>
    <row r="36" spans="1:4" x14ac:dyDescent="0.2">
      <c r="A36" s="87">
        <v>193</v>
      </c>
      <c r="B36" s="82" t="s">
        <v>207</v>
      </c>
      <c r="C36" s="88">
        <v>2487</v>
      </c>
      <c r="D36" s="79" t="s">
        <v>68</v>
      </c>
    </row>
    <row r="37" spans="1:4" x14ac:dyDescent="0.2">
      <c r="A37" s="87"/>
      <c r="B37" s="82"/>
      <c r="C37" s="88"/>
      <c r="D37" s="79"/>
    </row>
    <row r="38" spans="1:4" x14ac:dyDescent="0.2">
      <c r="A38" s="81"/>
      <c r="B38" s="80" t="s">
        <v>94</v>
      </c>
      <c r="C38" s="78">
        <f>SUM(C39)</f>
        <v>123500</v>
      </c>
      <c r="D38" s="79"/>
    </row>
    <row r="39" spans="1:4" x14ac:dyDescent="0.2">
      <c r="A39" s="81"/>
      <c r="B39" s="80" t="s">
        <v>125</v>
      </c>
      <c r="C39" s="78">
        <f>SUM(C40:C43)</f>
        <v>123500</v>
      </c>
      <c r="D39" s="79"/>
    </row>
    <row r="40" spans="1:4" x14ac:dyDescent="0.2">
      <c r="A40" s="87">
        <v>432</v>
      </c>
      <c r="B40" s="82" t="s">
        <v>89</v>
      </c>
      <c r="C40" s="88">
        <v>16900</v>
      </c>
      <c r="D40" s="79" t="s">
        <v>68</v>
      </c>
    </row>
    <row r="41" spans="1:4" x14ac:dyDescent="0.2">
      <c r="A41" s="87">
        <v>434</v>
      </c>
      <c r="B41" s="82" t="s">
        <v>208</v>
      </c>
      <c r="C41" s="88">
        <v>2600</v>
      </c>
      <c r="D41" s="79" t="s">
        <v>68</v>
      </c>
    </row>
    <row r="42" spans="1:4" x14ac:dyDescent="0.2">
      <c r="A42" s="87">
        <v>437</v>
      </c>
      <c r="B42" s="82" t="s">
        <v>209</v>
      </c>
      <c r="C42" s="88">
        <v>26000</v>
      </c>
      <c r="D42" s="79" t="s">
        <v>68</v>
      </c>
    </row>
    <row r="43" spans="1:4" x14ac:dyDescent="0.2">
      <c r="A43" s="87">
        <v>439</v>
      </c>
      <c r="B43" s="82" t="s">
        <v>156</v>
      </c>
      <c r="C43" s="88">
        <v>78000</v>
      </c>
      <c r="D43" s="79" t="s">
        <v>68</v>
      </c>
    </row>
    <row r="44" spans="1:4" x14ac:dyDescent="0.2">
      <c r="A44" s="81"/>
      <c r="B44" s="84"/>
      <c r="C44" s="85"/>
      <c r="D44" s="79"/>
    </row>
    <row r="45" spans="1:4" x14ac:dyDescent="0.2">
      <c r="A45" s="76" t="s">
        <v>948</v>
      </c>
      <c r="B45" s="90"/>
      <c r="C45" s="91">
        <f>+C46</f>
        <v>12205182</v>
      </c>
      <c r="D45" s="79"/>
    </row>
    <row r="46" spans="1:4" x14ac:dyDescent="0.2">
      <c r="A46" s="92"/>
      <c r="B46" s="80" t="s">
        <v>94</v>
      </c>
      <c r="C46" s="91">
        <f>+C47</f>
        <v>12205182</v>
      </c>
      <c r="D46" s="79"/>
    </row>
    <row r="47" spans="1:4" x14ac:dyDescent="0.2">
      <c r="A47" s="92"/>
      <c r="B47" s="93" t="s">
        <v>125</v>
      </c>
      <c r="C47" s="91">
        <f>+C48</f>
        <v>12205182</v>
      </c>
      <c r="D47" s="79"/>
    </row>
    <row r="48" spans="1:4" x14ac:dyDescent="0.2">
      <c r="A48" s="92">
        <v>679</v>
      </c>
      <c r="B48" s="90" t="s">
        <v>399</v>
      </c>
      <c r="C48" s="83">
        <f>13500031-1294849</f>
        <v>12205182</v>
      </c>
      <c r="D48" s="79" t="s">
        <v>309</v>
      </c>
    </row>
    <row r="49" spans="1:4" x14ac:dyDescent="0.2">
      <c r="A49" s="81"/>
      <c r="B49" s="84"/>
      <c r="C49" s="85"/>
      <c r="D49" s="79"/>
    </row>
    <row r="50" spans="1:4" x14ac:dyDescent="0.2">
      <c r="A50" s="76" t="s">
        <v>122</v>
      </c>
      <c r="B50" s="77"/>
      <c r="C50" s="78">
        <f>+C51</f>
        <v>3476000</v>
      </c>
      <c r="D50" s="79"/>
    </row>
    <row r="51" spans="1:4" x14ac:dyDescent="0.2">
      <c r="A51" s="76"/>
      <c r="B51" s="80" t="s">
        <v>94</v>
      </c>
      <c r="C51" s="78">
        <f>+C52</f>
        <v>3476000</v>
      </c>
      <c r="D51" s="79"/>
    </row>
    <row r="52" spans="1:4" x14ac:dyDescent="0.2">
      <c r="A52" s="76"/>
      <c r="B52" s="80" t="s">
        <v>125</v>
      </c>
      <c r="C52" s="78">
        <f>SUM(C53:C53)</f>
        <v>3476000</v>
      </c>
      <c r="D52" s="79"/>
    </row>
    <row r="53" spans="1:4" x14ac:dyDescent="0.2">
      <c r="A53" s="87">
        <v>629</v>
      </c>
      <c r="B53" s="82" t="s">
        <v>127</v>
      </c>
      <c r="C53" s="88">
        <v>3476000</v>
      </c>
      <c r="D53" s="79" t="s">
        <v>126</v>
      </c>
    </row>
    <row r="54" spans="1:4" x14ac:dyDescent="0.2">
      <c r="A54" s="81"/>
      <c r="B54" s="94"/>
      <c r="C54" s="94"/>
      <c r="D54" s="79"/>
    </row>
    <row r="55" spans="1:4" x14ac:dyDescent="0.2">
      <c r="A55" s="76" t="s">
        <v>139</v>
      </c>
      <c r="B55" s="77"/>
      <c r="C55" s="78">
        <f>+C56</f>
        <v>539000</v>
      </c>
      <c r="D55" s="79"/>
    </row>
    <row r="56" spans="1:4" x14ac:dyDescent="0.2">
      <c r="A56" s="95"/>
      <c r="B56" s="80" t="s">
        <v>66</v>
      </c>
      <c r="C56" s="78">
        <f>SUM(C57:C57)</f>
        <v>539000</v>
      </c>
      <c r="D56" s="79"/>
    </row>
    <row r="57" spans="1:4" x14ac:dyDescent="0.2">
      <c r="A57" s="87">
        <v>581</v>
      </c>
      <c r="B57" s="82" t="s">
        <v>140</v>
      </c>
      <c r="C57" s="88">
        <v>539000</v>
      </c>
      <c r="D57" s="79" t="s">
        <v>68</v>
      </c>
    </row>
    <row r="58" spans="1:4" x14ac:dyDescent="0.2">
      <c r="A58" s="81"/>
      <c r="B58" s="94"/>
      <c r="C58" s="94"/>
      <c r="D58" s="79"/>
    </row>
    <row r="59" spans="1:4" x14ac:dyDescent="0.2">
      <c r="A59" s="76" t="s">
        <v>217</v>
      </c>
      <c r="B59" s="77"/>
      <c r="C59" s="78">
        <f>+C60</f>
        <v>515323</v>
      </c>
      <c r="D59" s="79"/>
    </row>
    <row r="60" spans="1:4" x14ac:dyDescent="0.2">
      <c r="A60" s="95"/>
      <c r="B60" s="80" t="s">
        <v>66</v>
      </c>
      <c r="C60" s="78">
        <f>SUM(C61:C62)</f>
        <v>515323</v>
      </c>
      <c r="D60" s="79"/>
    </row>
    <row r="61" spans="1:4" x14ac:dyDescent="0.2">
      <c r="A61" s="87">
        <v>131</v>
      </c>
      <c r="B61" s="82" t="s">
        <v>135</v>
      </c>
      <c r="C61" s="88">
        <v>447933</v>
      </c>
      <c r="D61" s="79" t="s">
        <v>68</v>
      </c>
    </row>
    <row r="62" spans="1:4" x14ac:dyDescent="0.2">
      <c r="A62" s="87">
        <v>243</v>
      </c>
      <c r="B62" s="82" t="s">
        <v>70</v>
      </c>
      <c r="C62" s="88">
        <v>67390</v>
      </c>
      <c r="D62" s="79" t="s">
        <v>68</v>
      </c>
    </row>
    <row r="63" spans="1:4" x14ac:dyDescent="0.2">
      <c r="A63" s="81"/>
      <c r="B63" s="94"/>
      <c r="C63" s="96"/>
      <c r="D63" s="79"/>
    </row>
    <row r="64" spans="1:4" x14ac:dyDescent="0.2">
      <c r="A64" s="76" t="s">
        <v>214</v>
      </c>
      <c r="B64" s="77"/>
      <c r="C64" s="78">
        <f>+C65+C66</f>
        <v>398962075</v>
      </c>
      <c r="D64" s="79"/>
    </row>
    <row r="65" spans="1:4" x14ac:dyDescent="0.2">
      <c r="A65" s="76"/>
      <c r="B65" s="80" t="s">
        <v>66</v>
      </c>
      <c r="C65" s="78">
        <f>+C70+C74+C206+C149+C86+C91+C77+C114+C123+C126+C132+C135+C159+C164+C176+C195+C202+C180+C168+C184</f>
        <v>335476579</v>
      </c>
      <c r="D65" s="79"/>
    </row>
    <row r="66" spans="1:4" x14ac:dyDescent="0.2">
      <c r="A66" s="76"/>
      <c r="B66" s="80" t="s">
        <v>94</v>
      </c>
      <c r="C66" s="78">
        <f>+C153+C83+C95+C117+C140+C172+C191+C198</f>
        <v>63485496</v>
      </c>
      <c r="D66" s="79"/>
    </row>
    <row r="67" spans="1:4" x14ac:dyDescent="0.2">
      <c r="A67" s="76"/>
      <c r="B67" s="80"/>
      <c r="C67" s="78"/>
      <c r="D67" s="79"/>
    </row>
    <row r="68" spans="1:4" x14ac:dyDescent="0.2">
      <c r="A68" s="97" t="s">
        <v>823</v>
      </c>
      <c r="B68" s="82"/>
      <c r="C68" s="78">
        <f>+C69</f>
        <v>150000</v>
      </c>
      <c r="D68" s="79"/>
    </row>
    <row r="69" spans="1:4" x14ac:dyDescent="0.2">
      <c r="A69" s="98"/>
      <c r="B69" s="80" t="s">
        <v>66</v>
      </c>
      <c r="C69" s="78">
        <f>+C70</f>
        <v>150000</v>
      </c>
      <c r="D69" s="79"/>
    </row>
    <row r="70" spans="1:4" x14ac:dyDescent="0.2">
      <c r="A70" s="98">
        <v>529</v>
      </c>
      <c r="B70" s="82" t="s">
        <v>241</v>
      </c>
      <c r="C70" s="88">
        <v>150000</v>
      </c>
      <c r="D70" s="79" t="s">
        <v>68</v>
      </c>
    </row>
    <row r="71" spans="1:4" x14ac:dyDescent="0.2">
      <c r="A71" s="98"/>
      <c r="B71" s="90"/>
      <c r="C71" s="83"/>
      <c r="D71" s="79"/>
    </row>
    <row r="72" spans="1:4" x14ac:dyDescent="0.2">
      <c r="A72" s="97" t="s">
        <v>824</v>
      </c>
      <c r="B72" s="82"/>
      <c r="C72" s="78">
        <f>+C73</f>
        <v>2000000</v>
      </c>
      <c r="D72" s="79"/>
    </row>
    <row r="73" spans="1:4" x14ac:dyDescent="0.2">
      <c r="A73" s="98"/>
      <c r="B73" s="80" t="s">
        <v>66</v>
      </c>
      <c r="C73" s="78">
        <f>+C74</f>
        <v>2000000</v>
      </c>
      <c r="D73" s="79"/>
    </row>
    <row r="74" spans="1:4" x14ac:dyDescent="0.2">
      <c r="A74" s="98">
        <v>523</v>
      </c>
      <c r="B74" s="82" t="s">
        <v>820</v>
      </c>
      <c r="C74" s="88">
        <v>2000000</v>
      </c>
      <c r="D74" s="79" t="s">
        <v>68</v>
      </c>
    </row>
    <row r="75" spans="1:4" x14ac:dyDescent="0.2">
      <c r="A75" s="98"/>
      <c r="B75" s="90"/>
      <c r="C75" s="83"/>
      <c r="D75" s="79"/>
    </row>
    <row r="76" spans="1:4" x14ac:dyDescent="0.2">
      <c r="A76" s="97" t="s">
        <v>231</v>
      </c>
      <c r="B76" s="80"/>
      <c r="C76" s="78">
        <f>+C77+C81</f>
        <v>26668000</v>
      </c>
      <c r="D76" s="79"/>
    </row>
    <row r="77" spans="1:4" x14ac:dyDescent="0.2">
      <c r="A77" s="76"/>
      <c r="B77" s="80" t="s">
        <v>66</v>
      </c>
      <c r="C77" s="78">
        <f>+C78+C79</f>
        <v>25016000</v>
      </c>
      <c r="D77" s="79"/>
    </row>
    <row r="78" spans="1:4" x14ac:dyDescent="0.2">
      <c r="A78" s="99">
        <v>579</v>
      </c>
      <c r="B78" s="82" t="s">
        <v>348</v>
      </c>
      <c r="C78" s="88">
        <v>5284000</v>
      </c>
      <c r="D78" s="79" t="s">
        <v>68</v>
      </c>
    </row>
    <row r="79" spans="1:4" ht="22.5" x14ac:dyDescent="0.2">
      <c r="A79" s="100">
        <v>579</v>
      </c>
      <c r="B79" s="90" t="s">
        <v>348</v>
      </c>
      <c r="C79" s="83">
        <v>19732000</v>
      </c>
      <c r="D79" s="79" t="s">
        <v>235</v>
      </c>
    </row>
    <row r="80" spans="1:4" x14ac:dyDescent="0.2">
      <c r="A80" s="100"/>
      <c r="B80" s="90"/>
      <c r="C80" s="83"/>
      <c r="D80" s="79"/>
    </row>
    <row r="81" spans="1:4" x14ac:dyDescent="0.2">
      <c r="A81" s="100"/>
      <c r="B81" s="80" t="s">
        <v>94</v>
      </c>
      <c r="C81" s="91">
        <f>+C82</f>
        <v>1652000</v>
      </c>
      <c r="D81" s="79"/>
    </row>
    <row r="82" spans="1:4" x14ac:dyDescent="0.2">
      <c r="A82" s="100"/>
      <c r="B82" s="80" t="s">
        <v>125</v>
      </c>
      <c r="C82" s="91">
        <f>+C83</f>
        <v>1652000</v>
      </c>
      <c r="D82" s="79"/>
    </row>
    <row r="83" spans="1:4" ht="22.5" x14ac:dyDescent="0.2">
      <c r="A83" s="100">
        <v>679</v>
      </c>
      <c r="B83" s="90" t="s">
        <v>349</v>
      </c>
      <c r="C83" s="83">
        <v>1652000</v>
      </c>
      <c r="D83" s="79" t="s">
        <v>235</v>
      </c>
    </row>
    <row r="84" spans="1:4" x14ac:dyDescent="0.2">
      <c r="A84" s="76"/>
      <c r="B84" s="80"/>
      <c r="C84" s="78"/>
      <c r="D84" s="79"/>
    </row>
    <row r="85" spans="1:4" x14ac:dyDescent="0.2">
      <c r="A85" s="683" t="s">
        <v>334</v>
      </c>
      <c r="B85" s="684"/>
      <c r="C85" s="78">
        <f>+C86</f>
        <v>27500000</v>
      </c>
      <c r="D85" s="101"/>
    </row>
    <row r="86" spans="1:4" x14ac:dyDescent="0.2">
      <c r="A86" s="74"/>
      <c r="B86" s="80" t="s">
        <v>66</v>
      </c>
      <c r="C86" s="78">
        <f>+C87+C88</f>
        <v>27500000</v>
      </c>
      <c r="D86" s="101"/>
    </row>
    <row r="87" spans="1:4" x14ac:dyDescent="0.2">
      <c r="A87" s="87">
        <v>539</v>
      </c>
      <c r="B87" s="82" t="s">
        <v>335</v>
      </c>
      <c r="C87" s="88">
        <v>3711276</v>
      </c>
      <c r="D87" s="79" t="s">
        <v>68</v>
      </c>
    </row>
    <row r="88" spans="1:4" ht="22.5" x14ac:dyDescent="0.2">
      <c r="A88" s="92">
        <v>539</v>
      </c>
      <c r="B88" s="90" t="s">
        <v>335</v>
      </c>
      <c r="C88" s="83">
        <v>23788724</v>
      </c>
      <c r="D88" s="79" t="s">
        <v>75</v>
      </c>
    </row>
    <row r="89" spans="1:4" x14ac:dyDescent="0.2">
      <c r="A89" s="74"/>
      <c r="B89" s="75"/>
      <c r="C89" s="102"/>
      <c r="D89" s="103"/>
    </row>
    <row r="90" spans="1:4" ht="15" x14ac:dyDescent="0.25">
      <c r="A90" s="104" t="s">
        <v>336</v>
      </c>
      <c r="B90" s="105"/>
      <c r="C90" s="78">
        <f>+C91</f>
        <v>3200000</v>
      </c>
      <c r="D90" s="101"/>
    </row>
    <row r="91" spans="1:4" x14ac:dyDescent="0.2">
      <c r="A91" s="74"/>
      <c r="B91" s="80" t="s">
        <v>66</v>
      </c>
      <c r="C91" s="78">
        <f>SUM(C92:C92)</f>
        <v>3200000</v>
      </c>
      <c r="D91" s="101"/>
    </row>
    <row r="92" spans="1:4" x14ac:dyDescent="0.2">
      <c r="A92" s="87">
        <v>255</v>
      </c>
      <c r="B92" s="82" t="s">
        <v>337</v>
      </c>
      <c r="C92" s="88">
        <v>3200000</v>
      </c>
      <c r="D92" s="79" t="s">
        <v>68</v>
      </c>
    </row>
    <row r="93" spans="1:4" x14ac:dyDescent="0.2">
      <c r="A93" s="81"/>
      <c r="B93" s="94"/>
      <c r="C93" s="94"/>
      <c r="D93" s="79"/>
    </row>
    <row r="94" spans="1:4" x14ac:dyDescent="0.2">
      <c r="A94" s="97" t="s">
        <v>379</v>
      </c>
      <c r="B94" s="94"/>
      <c r="C94" s="106">
        <f>+C95</f>
        <v>39035290</v>
      </c>
      <c r="D94" s="79"/>
    </row>
    <row r="95" spans="1:4" x14ac:dyDescent="0.2">
      <c r="A95" s="81"/>
      <c r="B95" s="107" t="s">
        <v>94</v>
      </c>
      <c r="C95" s="106">
        <f>+C96+C110</f>
        <v>39035290</v>
      </c>
      <c r="D95" s="79"/>
    </row>
    <row r="96" spans="1:4" x14ac:dyDescent="0.2">
      <c r="A96" s="81"/>
      <c r="B96" s="107" t="s">
        <v>73</v>
      </c>
      <c r="C96" s="106">
        <f>SUM(C97:C108)</f>
        <v>35313290</v>
      </c>
      <c r="D96" s="79"/>
    </row>
    <row r="97" spans="1:4" x14ac:dyDescent="0.2">
      <c r="A97" s="81"/>
      <c r="B97" s="108" t="s">
        <v>380</v>
      </c>
      <c r="C97" s="83">
        <v>1679301</v>
      </c>
      <c r="D97" s="79" t="s">
        <v>98</v>
      </c>
    </row>
    <row r="98" spans="1:4" x14ac:dyDescent="0.2">
      <c r="A98" s="81"/>
      <c r="B98" s="108" t="s">
        <v>385</v>
      </c>
      <c r="C98" s="83">
        <v>165938</v>
      </c>
      <c r="D98" s="79" t="s">
        <v>386</v>
      </c>
    </row>
    <row r="99" spans="1:4" x14ac:dyDescent="0.2">
      <c r="A99" s="81"/>
      <c r="B99" s="108" t="s">
        <v>387</v>
      </c>
      <c r="C99" s="83">
        <v>5196951</v>
      </c>
      <c r="D99" s="79" t="s">
        <v>381</v>
      </c>
    </row>
    <row r="100" spans="1:4" x14ac:dyDescent="0.2">
      <c r="A100" s="81"/>
      <c r="B100" s="108" t="s">
        <v>388</v>
      </c>
      <c r="C100" s="83">
        <f>19375197-12858051</f>
        <v>6517146</v>
      </c>
      <c r="D100" s="79" t="s">
        <v>381</v>
      </c>
    </row>
    <row r="101" spans="1:4" x14ac:dyDescent="0.2">
      <c r="A101" s="81"/>
      <c r="B101" s="108" t="s">
        <v>389</v>
      </c>
      <c r="C101" s="83">
        <v>12324000</v>
      </c>
      <c r="D101" s="79" t="s">
        <v>381</v>
      </c>
    </row>
    <row r="102" spans="1:4" x14ac:dyDescent="0.2">
      <c r="A102" s="81"/>
      <c r="B102" s="108" t="s">
        <v>390</v>
      </c>
      <c r="C102" s="83">
        <v>1200000</v>
      </c>
      <c r="D102" s="79" t="s">
        <v>381</v>
      </c>
    </row>
    <row r="103" spans="1:4" x14ac:dyDescent="0.2">
      <c r="A103" s="81"/>
      <c r="B103" s="108" t="s">
        <v>391</v>
      </c>
      <c r="C103" s="83">
        <v>1434061</v>
      </c>
      <c r="D103" s="79" t="s">
        <v>381</v>
      </c>
    </row>
    <row r="104" spans="1:4" x14ac:dyDescent="0.2">
      <c r="A104" s="81"/>
      <c r="B104" s="108" t="s">
        <v>392</v>
      </c>
      <c r="C104" s="83">
        <v>1300000</v>
      </c>
      <c r="D104" s="79" t="s">
        <v>381</v>
      </c>
    </row>
    <row r="105" spans="1:4" x14ac:dyDescent="0.2">
      <c r="A105" s="81"/>
      <c r="B105" s="108" t="s">
        <v>393</v>
      </c>
      <c r="C105" s="83">
        <v>1300000</v>
      </c>
      <c r="D105" s="79" t="s">
        <v>381</v>
      </c>
    </row>
    <row r="106" spans="1:4" x14ac:dyDescent="0.2">
      <c r="A106" s="81"/>
      <c r="B106" s="108" t="s">
        <v>394</v>
      </c>
      <c r="C106" s="83">
        <v>1300000</v>
      </c>
      <c r="D106" s="79" t="s">
        <v>309</v>
      </c>
    </row>
    <row r="107" spans="1:4" x14ac:dyDescent="0.2">
      <c r="A107" s="81"/>
      <c r="B107" s="108" t="s">
        <v>395</v>
      </c>
      <c r="C107" s="83">
        <v>1300000</v>
      </c>
      <c r="D107" s="79" t="s">
        <v>309</v>
      </c>
    </row>
    <row r="108" spans="1:4" ht="14.25" customHeight="1" x14ac:dyDescent="0.2">
      <c r="A108" s="81"/>
      <c r="B108" s="109" t="s">
        <v>396</v>
      </c>
      <c r="C108" s="83">
        <v>1595893</v>
      </c>
      <c r="D108" s="79" t="s">
        <v>309</v>
      </c>
    </row>
    <row r="109" spans="1:4" x14ac:dyDescent="0.2">
      <c r="A109" s="81"/>
      <c r="B109" s="94"/>
      <c r="C109" s="94"/>
      <c r="D109" s="79"/>
    </row>
    <row r="110" spans="1:4" x14ac:dyDescent="0.2">
      <c r="A110" s="81"/>
      <c r="B110" s="107" t="s">
        <v>125</v>
      </c>
      <c r="C110" s="91">
        <f>+C111</f>
        <v>3722000</v>
      </c>
      <c r="D110" s="79"/>
    </row>
    <row r="111" spans="1:4" x14ac:dyDescent="0.2">
      <c r="A111" s="81">
        <v>679</v>
      </c>
      <c r="B111" s="94" t="s">
        <v>349</v>
      </c>
      <c r="C111" s="83">
        <v>3722000</v>
      </c>
      <c r="D111" s="79" t="s">
        <v>381</v>
      </c>
    </row>
    <row r="112" spans="1:4" x14ac:dyDescent="0.2">
      <c r="A112" s="81"/>
      <c r="B112" s="94"/>
      <c r="C112" s="83"/>
      <c r="D112" s="79"/>
    </row>
    <row r="113" spans="1:4" x14ac:dyDescent="0.2">
      <c r="A113" s="104" t="s">
        <v>382</v>
      </c>
      <c r="B113" s="94"/>
      <c r="C113" s="106">
        <f>+C114+C117</f>
        <v>107728727</v>
      </c>
      <c r="D113" s="110"/>
    </row>
    <row r="114" spans="1:4" x14ac:dyDescent="0.2">
      <c r="A114" s="81"/>
      <c r="B114" s="80" t="s">
        <v>66</v>
      </c>
      <c r="C114" s="106">
        <f>+C115</f>
        <v>106168727</v>
      </c>
      <c r="D114" s="110"/>
    </row>
    <row r="115" spans="1:4" x14ac:dyDescent="0.2">
      <c r="A115" s="111">
        <v>579</v>
      </c>
      <c r="B115" s="112" t="s">
        <v>311</v>
      </c>
      <c r="C115" s="83">
        <f>106168726+1</f>
        <v>106168727</v>
      </c>
      <c r="D115" s="110" t="s">
        <v>79</v>
      </c>
    </row>
    <row r="116" spans="1:4" x14ac:dyDescent="0.2">
      <c r="A116" s="111"/>
      <c r="B116" s="112"/>
      <c r="C116" s="83"/>
      <c r="D116" s="110"/>
    </row>
    <row r="117" spans="1:4" x14ac:dyDescent="0.2">
      <c r="A117" s="111"/>
      <c r="B117" s="113" t="s">
        <v>94</v>
      </c>
      <c r="C117" s="106">
        <f>+C118</f>
        <v>1560000</v>
      </c>
      <c r="D117" s="110"/>
    </row>
    <row r="118" spans="1:4" x14ac:dyDescent="0.2">
      <c r="A118" s="111"/>
      <c r="B118" s="113" t="s">
        <v>125</v>
      </c>
      <c r="C118" s="106">
        <f>+C119</f>
        <v>1560000</v>
      </c>
      <c r="D118" s="110"/>
    </row>
    <row r="119" spans="1:4" x14ac:dyDescent="0.2">
      <c r="A119" s="111">
        <v>679</v>
      </c>
      <c r="B119" s="112" t="s">
        <v>311</v>
      </c>
      <c r="C119" s="83">
        <v>1560000</v>
      </c>
      <c r="D119" s="110" t="s">
        <v>79</v>
      </c>
    </row>
    <row r="120" spans="1:4" x14ac:dyDescent="0.2">
      <c r="A120" s="81"/>
      <c r="B120" s="94"/>
      <c r="C120" s="83"/>
      <c r="D120" s="110"/>
    </row>
    <row r="121" spans="1:4" x14ac:dyDescent="0.2">
      <c r="A121" s="97" t="s">
        <v>922</v>
      </c>
      <c r="B121" s="82"/>
      <c r="C121" s="78">
        <f>+C122</f>
        <v>250000</v>
      </c>
      <c r="D121" s="110"/>
    </row>
    <row r="122" spans="1:4" x14ac:dyDescent="0.2">
      <c r="A122" s="98"/>
      <c r="B122" s="80" t="s">
        <v>66</v>
      </c>
      <c r="C122" s="78">
        <f>+C123</f>
        <v>250000</v>
      </c>
      <c r="D122" s="110"/>
    </row>
    <row r="123" spans="1:4" x14ac:dyDescent="0.2">
      <c r="A123" s="98">
        <v>525</v>
      </c>
      <c r="B123" s="82" t="s">
        <v>593</v>
      </c>
      <c r="C123" s="88">
        <v>250000</v>
      </c>
      <c r="D123" s="110" t="s">
        <v>68</v>
      </c>
    </row>
    <row r="124" spans="1:4" x14ac:dyDescent="0.2">
      <c r="A124" s="81"/>
      <c r="B124" s="94"/>
      <c r="C124" s="83"/>
      <c r="D124" s="110"/>
    </row>
    <row r="125" spans="1:4" x14ac:dyDescent="0.2">
      <c r="A125" s="104" t="s">
        <v>384</v>
      </c>
      <c r="B125" s="94"/>
      <c r="C125" s="91">
        <f>+C126</f>
        <v>1434151</v>
      </c>
      <c r="D125" s="110"/>
    </row>
    <row r="126" spans="1:4" x14ac:dyDescent="0.2">
      <c r="A126" s="81"/>
      <c r="B126" s="80" t="s">
        <v>66</v>
      </c>
      <c r="C126" s="91">
        <f>+C127+C128</f>
        <v>1434151</v>
      </c>
      <c r="D126" s="110"/>
    </row>
    <row r="127" spans="1:4" x14ac:dyDescent="0.2">
      <c r="A127" s="111">
        <v>579</v>
      </c>
      <c r="B127" s="112" t="s">
        <v>311</v>
      </c>
      <c r="C127" s="83">
        <v>37042</v>
      </c>
      <c r="D127" s="110" t="s">
        <v>68</v>
      </c>
    </row>
    <row r="128" spans="1:4" ht="25.5" x14ac:dyDescent="0.2">
      <c r="A128" s="111">
        <v>579</v>
      </c>
      <c r="B128" s="112" t="s">
        <v>311</v>
      </c>
      <c r="C128" s="83">
        <v>1397109</v>
      </c>
      <c r="D128" s="110" t="s">
        <v>112</v>
      </c>
    </row>
    <row r="129" spans="1:4" x14ac:dyDescent="0.2">
      <c r="A129" s="111"/>
      <c r="B129" s="112"/>
      <c r="C129" s="83"/>
      <c r="D129" s="110"/>
    </row>
    <row r="130" spans="1:4" x14ac:dyDescent="0.2">
      <c r="A130" s="97" t="s">
        <v>825</v>
      </c>
      <c r="B130" s="82"/>
      <c r="C130" s="78">
        <f>+C131</f>
        <v>250000</v>
      </c>
      <c r="D130" s="110"/>
    </row>
    <row r="131" spans="1:4" x14ac:dyDescent="0.2">
      <c r="A131" s="98"/>
      <c r="B131" s="80" t="s">
        <v>66</v>
      </c>
      <c r="C131" s="78">
        <f>+C132</f>
        <v>250000</v>
      </c>
      <c r="D131" s="110"/>
    </row>
    <row r="132" spans="1:4" x14ac:dyDescent="0.2">
      <c r="A132" s="98">
        <v>529</v>
      </c>
      <c r="B132" s="82" t="s">
        <v>241</v>
      </c>
      <c r="C132" s="88">
        <v>250000</v>
      </c>
      <c r="D132" s="110" t="s">
        <v>68</v>
      </c>
    </row>
    <row r="133" spans="1:4" x14ac:dyDescent="0.2">
      <c r="A133" s="111"/>
      <c r="B133" s="112"/>
      <c r="C133" s="83"/>
      <c r="D133" s="110"/>
    </row>
    <row r="134" spans="1:4" x14ac:dyDescent="0.2">
      <c r="A134" s="104" t="s">
        <v>584</v>
      </c>
      <c r="B134" s="112"/>
      <c r="C134" s="91">
        <f>+C135+C140</f>
        <v>42632400</v>
      </c>
      <c r="D134" s="110"/>
    </row>
    <row r="135" spans="1:4" x14ac:dyDescent="0.2">
      <c r="A135" s="104"/>
      <c r="B135" s="80" t="s">
        <v>66</v>
      </c>
      <c r="C135" s="91">
        <f>SUM(C136:C138)</f>
        <v>28774588</v>
      </c>
      <c r="D135" s="110"/>
    </row>
    <row r="136" spans="1:4" x14ac:dyDescent="0.2">
      <c r="A136" s="111">
        <v>579</v>
      </c>
      <c r="B136" s="112" t="s">
        <v>311</v>
      </c>
      <c r="C136" s="83">
        <v>12949420</v>
      </c>
      <c r="D136" s="110" t="s">
        <v>68</v>
      </c>
    </row>
    <row r="137" spans="1:4" x14ac:dyDescent="0.2">
      <c r="A137" s="111">
        <v>579</v>
      </c>
      <c r="B137" s="112" t="s">
        <v>311</v>
      </c>
      <c r="C137" s="83">
        <v>2224745</v>
      </c>
      <c r="D137" s="110" t="s">
        <v>101</v>
      </c>
    </row>
    <row r="138" spans="1:4" ht="25.5" x14ac:dyDescent="0.2">
      <c r="A138" s="111">
        <v>579</v>
      </c>
      <c r="B138" s="112" t="s">
        <v>311</v>
      </c>
      <c r="C138" s="83">
        <v>13600423</v>
      </c>
      <c r="D138" s="110" t="s">
        <v>586</v>
      </c>
    </row>
    <row r="139" spans="1:4" x14ac:dyDescent="0.2">
      <c r="A139" s="104"/>
      <c r="B139" s="112"/>
      <c r="C139" s="83"/>
      <c r="D139" s="110"/>
    </row>
    <row r="140" spans="1:4" x14ac:dyDescent="0.2">
      <c r="A140" s="111"/>
      <c r="B140" s="113" t="s">
        <v>94</v>
      </c>
      <c r="C140" s="91">
        <f>+C141+C145</f>
        <v>13857812</v>
      </c>
      <c r="D140" s="110"/>
    </row>
    <row r="141" spans="1:4" x14ac:dyDescent="0.2">
      <c r="A141" s="111"/>
      <c r="B141" s="113" t="s">
        <v>73</v>
      </c>
      <c r="C141" s="91">
        <f>+C142+C143</f>
        <v>2567000</v>
      </c>
      <c r="D141" s="110"/>
    </row>
    <row r="142" spans="1:4" x14ac:dyDescent="0.2">
      <c r="A142" s="111"/>
      <c r="B142" s="112" t="s">
        <v>585</v>
      </c>
      <c r="C142" s="83">
        <v>425000</v>
      </c>
      <c r="D142" s="110" t="s">
        <v>98</v>
      </c>
    </row>
    <row r="143" spans="1:4" x14ac:dyDescent="0.2">
      <c r="A143" s="111"/>
      <c r="B143" s="112" t="s">
        <v>588</v>
      </c>
      <c r="C143" s="83">
        <v>2142000</v>
      </c>
      <c r="D143" s="110" t="s">
        <v>101</v>
      </c>
    </row>
    <row r="144" spans="1:4" x14ac:dyDescent="0.2">
      <c r="A144" s="111"/>
      <c r="B144" s="112"/>
      <c r="C144" s="83"/>
      <c r="D144" s="110"/>
    </row>
    <row r="145" spans="1:4" x14ac:dyDescent="0.2">
      <c r="A145" s="111"/>
      <c r="B145" s="113" t="s">
        <v>125</v>
      </c>
      <c r="C145" s="91">
        <f>+C146</f>
        <v>11290812</v>
      </c>
      <c r="D145" s="110"/>
    </row>
    <row r="146" spans="1:4" x14ac:dyDescent="0.2">
      <c r="A146" s="111">
        <v>679</v>
      </c>
      <c r="B146" s="112" t="s">
        <v>349</v>
      </c>
      <c r="C146" s="83">
        <v>11290812</v>
      </c>
      <c r="D146" s="110" t="s">
        <v>101</v>
      </c>
    </row>
    <row r="147" spans="1:4" x14ac:dyDescent="0.2">
      <c r="A147" s="81"/>
      <c r="B147" s="94"/>
      <c r="C147" s="94"/>
      <c r="D147" s="110"/>
    </row>
    <row r="148" spans="1:4" x14ac:dyDescent="0.2">
      <c r="A148" s="104" t="s">
        <v>310</v>
      </c>
      <c r="B148" s="94"/>
      <c r="C148" s="106">
        <f>+C149+C153</f>
        <v>108984670</v>
      </c>
      <c r="D148" s="110"/>
    </row>
    <row r="149" spans="1:4" x14ac:dyDescent="0.2">
      <c r="A149" s="81"/>
      <c r="B149" s="80" t="s">
        <v>66</v>
      </c>
      <c r="C149" s="106">
        <f>+C150+C151</f>
        <v>103879276</v>
      </c>
      <c r="D149" s="110"/>
    </row>
    <row r="150" spans="1:4" ht="25.5" x14ac:dyDescent="0.2">
      <c r="A150" s="111">
        <v>579</v>
      </c>
      <c r="B150" s="112" t="s">
        <v>311</v>
      </c>
      <c r="C150" s="83">
        <f>57361383+16367000</f>
        <v>73728383</v>
      </c>
      <c r="D150" s="110" t="s">
        <v>112</v>
      </c>
    </row>
    <row r="151" spans="1:4" ht="25.5" x14ac:dyDescent="0.2">
      <c r="A151" s="111">
        <v>579</v>
      </c>
      <c r="B151" s="112" t="s">
        <v>311</v>
      </c>
      <c r="C151" s="83">
        <v>30150893</v>
      </c>
      <c r="D151" s="110" t="s">
        <v>273</v>
      </c>
    </row>
    <row r="152" spans="1:4" x14ac:dyDescent="0.2">
      <c r="A152" s="81"/>
      <c r="B152" s="94"/>
      <c r="C152" s="83"/>
      <c r="D152" s="110"/>
    </row>
    <row r="153" spans="1:4" x14ac:dyDescent="0.2">
      <c r="A153" s="81"/>
      <c r="B153" s="80" t="s">
        <v>94</v>
      </c>
      <c r="C153" s="78">
        <f>+C154</f>
        <v>5105394</v>
      </c>
      <c r="D153" s="110"/>
    </row>
    <row r="154" spans="1:4" x14ac:dyDescent="0.2">
      <c r="A154" s="81"/>
      <c r="B154" s="80" t="s">
        <v>125</v>
      </c>
      <c r="C154" s="78">
        <f>+C155+C156</f>
        <v>5105394</v>
      </c>
      <c r="D154" s="110"/>
    </row>
    <row r="155" spans="1:4" ht="25.5" x14ac:dyDescent="0.2">
      <c r="A155" s="111">
        <v>675</v>
      </c>
      <c r="B155" s="112" t="s">
        <v>312</v>
      </c>
      <c r="C155" s="83">
        <v>5001044</v>
      </c>
      <c r="D155" s="110" t="s">
        <v>112</v>
      </c>
    </row>
    <row r="156" spans="1:4" x14ac:dyDescent="0.2">
      <c r="A156" s="81">
        <v>675</v>
      </c>
      <c r="B156" s="94" t="s">
        <v>312</v>
      </c>
      <c r="C156" s="88">
        <v>104350</v>
      </c>
      <c r="D156" s="110" t="s">
        <v>309</v>
      </c>
    </row>
    <row r="157" spans="1:4" x14ac:dyDescent="0.2">
      <c r="A157" s="81"/>
      <c r="B157" s="94"/>
      <c r="C157" s="94"/>
      <c r="D157" s="110"/>
    </row>
    <row r="158" spans="1:4" x14ac:dyDescent="0.2">
      <c r="A158" s="104" t="s">
        <v>591</v>
      </c>
      <c r="B158" s="94"/>
      <c r="C158" s="78">
        <f>+C159</f>
        <v>2965839</v>
      </c>
      <c r="D158" s="110"/>
    </row>
    <row r="159" spans="1:4" x14ac:dyDescent="0.2">
      <c r="A159" s="81"/>
      <c r="B159" s="80" t="s">
        <v>66</v>
      </c>
      <c r="C159" s="78">
        <f>+C160+C161</f>
        <v>2965839</v>
      </c>
      <c r="D159" s="110"/>
    </row>
    <row r="160" spans="1:4" x14ac:dyDescent="0.2">
      <c r="A160" s="111">
        <v>579</v>
      </c>
      <c r="B160" s="112" t="s">
        <v>311</v>
      </c>
      <c r="C160" s="88">
        <v>2704220</v>
      </c>
      <c r="D160" s="110" t="s">
        <v>68</v>
      </c>
    </row>
    <row r="161" spans="1:4" ht="25.5" x14ac:dyDescent="0.2">
      <c r="A161" s="111">
        <v>579</v>
      </c>
      <c r="B161" s="112" t="s">
        <v>311</v>
      </c>
      <c r="C161" s="88">
        <v>261619</v>
      </c>
      <c r="D161" s="110" t="s">
        <v>397</v>
      </c>
    </row>
    <row r="162" spans="1:4" x14ac:dyDescent="0.2">
      <c r="A162" s="111"/>
      <c r="B162" s="112"/>
      <c r="C162" s="88"/>
      <c r="D162" s="110"/>
    </row>
    <row r="163" spans="1:4" x14ac:dyDescent="0.2">
      <c r="A163" s="104" t="s">
        <v>398</v>
      </c>
      <c r="B163" s="94"/>
      <c r="C163" s="78">
        <f>+C164</f>
        <v>209000</v>
      </c>
      <c r="D163" s="110"/>
    </row>
    <row r="164" spans="1:4" x14ac:dyDescent="0.2">
      <c r="A164" s="81"/>
      <c r="B164" s="80" t="s">
        <v>66</v>
      </c>
      <c r="C164" s="78">
        <f>+C165</f>
        <v>209000</v>
      </c>
      <c r="D164" s="110"/>
    </row>
    <row r="165" spans="1:4" x14ac:dyDescent="0.2">
      <c r="A165" s="111">
        <v>579</v>
      </c>
      <c r="B165" s="112" t="s">
        <v>311</v>
      </c>
      <c r="C165" s="88">
        <v>209000</v>
      </c>
      <c r="D165" s="110" t="s">
        <v>68</v>
      </c>
    </row>
    <row r="166" spans="1:4" x14ac:dyDescent="0.2">
      <c r="A166" s="111"/>
      <c r="B166" s="112"/>
      <c r="C166" s="88"/>
      <c r="D166" s="110"/>
    </row>
    <row r="167" spans="1:4" x14ac:dyDescent="0.2">
      <c r="A167" s="104" t="s">
        <v>628</v>
      </c>
      <c r="B167" s="94"/>
      <c r="C167" s="78">
        <f>+C168+C171</f>
        <v>1000000</v>
      </c>
      <c r="D167" s="110"/>
    </row>
    <row r="168" spans="1:4" x14ac:dyDescent="0.2">
      <c r="A168" s="81"/>
      <c r="B168" s="80" t="s">
        <v>66</v>
      </c>
      <c r="C168" s="78">
        <f>+C169</f>
        <v>400000</v>
      </c>
      <c r="D168" s="110"/>
    </row>
    <row r="169" spans="1:4" x14ac:dyDescent="0.2">
      <c r="A169" s="111">
        <v>579</v>
      </c>
      <c r="B169" s="112" t="s">
        <v>311</v>
      </c>
      <c r="C169" s="88">
        <v>400000</v>
      </c>
      <c r="D169" s="110" t="s">
        <v>68</v>
      </c>
    </row>
    <row r="170" spans="1:4" x14ac:dyDescent="0.2">
      <c r="A170" s="111"/>
      <c r="B170" s="112"/>
      <c r="C170" s="88"/>
      <c r="D170" s="110"/>
    </row>
    <row r="171" spans="1:4" x14ac:dyDescent="0.2">
      <c r="A171" s="81"/>
      <c r="B171" s="80" t="s">
        <v>94</v>
      </c>
      <c r="C171" s="78">
        <f>+C172</f>
        <v>600000</v>
      </c>
      <c r="D171" s="110"/>
    </row>
    <row r="172" spans="1:4" x14ac:dyDescent="0.2">
      <c r="A172" s="81"/>
      <c r="B172" s="80" t="s">
        <v>125</v>
      </c>
      <c r="C172" s="78">
        <f>+C173</f>
        <v>600000</v>
      </c>
      <c r="D172" s="110"/>
    </row>
    <row r="173" spans="1:4" x14ac:dyDescent="0.2">
      <c r="A173" s="111">
        <v>675</v>
      </c>
      <c r="B173" s="112" t="s">
        <v>312</v>
      </c>
      <c r="C173" s="83">
        <v>600000</v>
      </c>
      <c r="D173" s="110" t="s">
        <v>68</v>
      </c>
    </row>
    <row r="174" spans="1:4" x14ac:dyDescent="0.2">
      <c r="A174" s="111"/>
      <c r="B174" s="112"/>
      <c r="C174" s="83"/>
      <c r="D174" s="110"/>
    </row>
    <row r="175" spans="1:4" x14ac:dyDescent="0.2">
      <c r="A175" s="104" t="s">
        <v>592</v>
      </c>
      <c r="B175" s="94"/>
      <c r="C175" s="78">
        <f>+C176</f>
        <v>1419160</v>
      </c>
      <c r="D175" s="110"/>
    </row>
    <row r="176" spans="1:4" x14ac:dyDescent="0.2">
      <c r="A176" s="81"/>
      <c r="B176" s="80" t="s">
        <v>66</v>
      </c>
      <c r="C176" s="78">
        <f>+C177</f>
        <v>1419160</v>
      </c>
      <c r="D176" s="110"/>
    </row>
    <row r="177" spans="1:4" x14ac:dyDescent="0.2">
      <c r="A177" s="111">
        <v>579</v>
      </c>
      <c r="B177" s="112" t="s">
        <v>311</v>
      </c>
      <c r="C177" s="88">
        <v>1419160</v>
      </c>
      <c r="D177" s="110" t="s">
        <v>68</v>
      </c>
    </row>
    <row r="178" spans="1:4" x14ac:dyDescent="0.2">
      <c r="A178" s="111"/>
      <c r="B178" s="112"/>
      <c r="C178" s="88"/>
      <c r="D178" s="110"/>
    </row>
    <row r="179" spans="1:4" x14ac:dyDescent="0.2">
      <c r="A179" s="104" t="s">
        <v>589</v>
      </c>
      <c r="B179" s="112"/>
      <c r="C179" s="78">
        <f>+C180</f>
        <v>22025396</v>
      </c>
      <c r="D179" s="110"/>
    </row>
    <row r="180" spans="1:4" x14ac:dyDescent="0.2">
      <c r="A180" s="76"/>
      <c r="B180" s="80" t="s">
        <v>66</v>
      </c>
      <c r="C180" s="78">
        <f>+C181</f>
        <v>22025396</v>
      </c>
      <c r="D180" s="114"/>
    </row>
    <row r="181" spans="1:4" x14ac:dyDescent="0.2">
      <c r="A181" s="98">
        <v>561</v>
      </c>
      <c r="B181" s="82" t="s">
        <v>372</v>
      </c>
      <c r="C181" s="115">
        <v>22025396</v>
      </c>
      <c r="D181" s="116" t="s">
        <v>68</v>
      </c>
    </row>
    <row r="182" spans="1:4" x14ac:dyDescent="0.2">
      <c r="A182" s="98"/>
      <c r="B182" s="82"/>
      <c r="C182" s="115"/>
      <c r="D182" s="116"/>
    </row>
    <row r="183" spans="1:4" x14ac:dyDescent="0.2">
      <c r="A183" s="117" t="s">
        <v>821</v>
      </c>
      <c r="B183" s="118"/>
      <c r="C183" s="91">
        <f>+C184+C191</f>
        <v>5325000</v>
      </c>
      <c r="D183" s="116"/>
    </row>
    <row r="184" spans="1:4" x14ac:dyDescent="0.2">
      <c r="A184" s="99"/>
      <c r="B184" s="80" t="s">
        <v>66</v>
      </c>
      <c r="C184" s="78">
        <f>+C185+C186+C187+C188+C189</f>
        <v>5100000</v>
      </c>
      <c r="D184" s="116"/>
    </row>
    <row r="185" spans="1:4" x14ac:dyDescent="0.2">
      <c r="A185" s="99">
        <v>521</v>
      </c>
      <c r="B185" s="82" t="s">
        <v>923</v>
      </c>
      <c r="C185" s="83">
        <v>100000</v>
      </c>
      <c r="D185" s="116" t="s">
        <v>68</v>
      </c>
    </row>
    <row r="186" spans="1:4" x14ac:dyDescent="0.2">
      <c r="A186" s="98">
        <v>523</v>
      </c>
      <c r="B186" s="82" t="s">
        <v>820</v>
      </c>
      <c r="C186" s="83">
        <v>850000</v>
      </c>
      <c r="D186" s="116" t="s">
        <v>68</v>
      </c>
    </row>
    <row r="187" spans="1:4" x14ac:dyDescent="0.2">
      <c r="A187" s="98">
        <v>524</v>
      </c>
      <c r="B187" s="82" t="s">
        <v>732</v>
      </c>
      <c r="C187" s="83">
        <v>700000</v>
      </c>
      <c r="D187" s="116" t="s">
        <v>68</v>
      </c>
    </row>
    <row r="188" spans="1:4" x14ac:dyDescent="0.2">
      <c r="A188" s="98">
        <v>525</v>
      </c>
      <c r="B188" s="82" t="s">
        <v>593</v>
      </c>
      <c r="C188" s="83">
        <v>2650000</v>
      </c>
      <c r="D188" s="116" t="s">
        <v>68</v>
      </c>
    </row>
    <row r="189" spans="1:4" x14ac:dyDescent="0.2">
      <c r="A189" s="98">
        <v>529</v>
      </c>
      <c r="B189" s="118" t="s">
        <v>241</v>
      </c>
      <c r="C189" s="83">
        <v>800000</v>
      </c>
      <c r="D189" s="116" t="s">
        <v>68</v>
      </c>
    </row>
    <row r="190" spans="1:4" x14ac:dyDescent="0.2">
      <c r="A190" s="98"/>
      <c r="B190" s="80"/>
      <c r="C190" s="78"/>
      <c r="D190" s="116"/>
    </row>
    <row r="191" spans="1:4" x14ac:dyDescent="0.2">
      <c r="A191" s="98"/>
      <c r="B191" s="80" t="s">
        <v>94</v>
      </c>
      <c r="C191" s="78">
        <f>+C192</f>
        <v>225000</v>
      </c>
      <c r="D191" s="116"/>
    </row>
    <row r="192" spans="1:4" x14ac:dyDescent="0.2">
      <c r="A192" s="98">
        <v>629</v>
      </c>
      <c r="B192" s="82" t="s">
        <v>349</v>
      </c>
      <c r="C192" s="83">
        <v>225000</v>
      </c>
      <c r="D192" s="116" t="s">
        <v>68</v>
      </c>
    </row>
    <row r="193" spans="1:4" x14ac:dyDescent="0.2">
      <c r="A193" s="81"/>
      <c r="B193" s="94"/>
      <c r="C193" s="94"/>
      <c r="D193" s="119"/>
    </row>
    <row r="194" spans="1:4" x14ac:dyDescent="0.2">
      <c r="A194" s="117" t="s">
        <v>822</v>
      </c>
      <c r="B194" s="118"/>
      <c r="C194" s="91">
        <f>+C195+C198</f>
        <v>2150000</v>
      </c>
      <c r="D194" s="116"/>
    </row>
    <row r="195" spans="1:4" x14ac:dyDescent="0.2">
      <c r="A195" s="99"/>
      <c r="B195" s="80" t="s">
        <v>66</v>
      </c>
      <c r="C195" s="78">
        <f>+C196+C200</f>
        <v>700000</v>
      </c>
      <c r="D195" s="116"/>
    </row>
    <row r="196" spans="1:4" x14ac:dyDescent="0.2">
      <c r="A196" s="98">
        <v>523</v>
      </c>
      <c r="B196" s="82" t="s">
        <v>820</v>
      </c>
      <c r="C196" s="83">
        <v>700000</v>
      </c>
      <c r="D196" s="116" t="s">
        <v>68</v>
      </c>
    </row>
    <row r="197" spans="1:4" x14ac:dyDescent="0.2">
      <c r="A197" s="98"/>
      <c r="B197" s="82"/>
      <c r="C197" s="83"/>
      <c r="D197" s="116"/>
    </row>
    <row r="198" spans="1:4" x14ac:dyDescent="0.2">
      <c r="A198" s="98"/>
      <c r="B198" s="80" t="s">
        <v>94</v>
      </c>
      <c r="C198" s="78">
        <f>+C199</f>
        <v>1450000</v>
      </c>
      <c r="D198" s="119"/>
    </row>
    <row r="199" spans="1:4" x14ac:dyDescent="0.2">
      <c r="A199" s="98">
        <v>624</v>
      </c>
      <c r="B199" s="82" t="s">
        <v>820</v>
      </c>
      <c r="C199" s="83">
        <v>1450000</v>
      </c>
      <c r="D199" s="116" t="s">
        <v>68</v>
      </c>
    </row>
    <row r="200" spans="1:4" x14ac:dyDescent="0.2">
      <c r="A200" s="98"/>
      <c r="B200" s="118"/>
      <c r="C200" s="83"/>
      <c r="D200" s="116"/>
    </row>
    <row r="201" spans="1:4" x14ac:dyDescent="0.2">
      <c r="A201" s="104" t="s">
        <v>400</v>
      </c>
      <c r="B201" s="94"/>
      <c r="C201" s="78">
        <f>+C202</f>
        <v>1458079</v>
      </c>
      <c r="D201" s="110"/>
    </row>
    <row r="202" spans="1:4" x14ac:dyDescent="0.2">
      <c r="A202" s="81"/>
      <c r="B202" s="80" t="s">
        <v>66</v>
      </c>
      <c r="C202" s="78">
        <f>+C203</f>
        <v>1458079</v>
      </c>
      <c r="D202" s="110"/>
    </row>
    <row r="203" spans="1:4" x14ac:dyDescent="0.2">
      <c r="A203" s="111">
        <v>579</v>
      </c>
      <c r="B203" s="112" t="s">
        <v>311</v>
      </c>
      <c r="C203" s="88">
        <v>1458079</v>
      </c>
      <c r="D203" s="110" t="s">
        <v>68</v>
      </c>
    </row>
    <row r="204" spans="1:4" x14ac:dyDescent="0.2">
      <c r="A204" s="111"/>
      <c r="B204" s="112"/>
      <c r="C204" s="94"/>
      <c r="D204" s="110"/>
    </row>
    <row r="205" spans="1:4" ht="28.5" customHeight="1" x14ac:dyDescent="0.2">
      <c r="A205" s="681" t="s">
        <v>243</v>
      </c>
      <c r="B205" s="682"/>
      <c r="C205" s="120">
        <f>+C206</f>
        <v>2576363</v>
      </c>
      <c r="D205" s="121"/>
    </row>
    <row r="206" spans="1:4" x14ac:dyDescent="0.2">
      <c r="A206" s="95"/>
      <c r="B206" s="107" t="s">
        <v>66</v>
      </c>
      <c r="C206" s="122">
        <f>+C207+C208</f>
        <v>2576363</v>
      </c>
      <c r="D206" s="121"/>
    </row>
    <row r="207" spans="1:4" ht="39.75" customHeight="1" x14ac:dyDescent="0.2">
      <c r="A207" s="92">
        <v>529</v>
      </c>
      <c r="B207" s="90" t="s">
        <v>241</v>
      </c>
      <c r="C207" s="83">
        <v>49208</v>
      </c>
      <c r="D207" s="110" t="s">
        <v>242</v>
      </c>
    </row>
    <row r="208" spans="1:4" ht="42" customHeight="1" thickBot="1" x14ac:dyDescent="0.25">
      <c r="A208" s="146">
        <v>572</v>
      </c>
      <c r="B208" s="147" t="s">
        <v>234</v>
      </c>
      <c r="C208" s="148">
        <v>2527155</v>
      </c>
      <c r="D208" s="149" t="s">
        <v>242</v>
      </c>
    </row>
    <row r="209" spans="1:7" x14ac:dyDescent="0.2">
      <c r="A209" s="150"/>
      <c r="B209" s="151" t="s">
        <v>249</v>
      </c>
      <c r="C209" s="152">
        <f>+C210+C217</f>
        <v>435516373</v>
      </c>
      <c r="D209" s="153"/>
    </row>
    <row r="210" spans="1:7" x14ac:dyDescent="0.2">
      <c r="A210" s="123"/>
      <c r="B210" s="107" t="s">
        <v>66</v>
      </c>
      <c r="C210" s="124">
        <f>SUM(C211:C215)</f>
        <v>345229011</v>
      </c>
      <c r="D210" s="125"/>
    </row>
    <row r="211" spans="1:7" x14ac:dyDescent="0.2">
      <c r="A211" s="123"/>
      <c r="B211" s="94" t="s">
        <v>68</v>
      </c>
      <c r="C211" s="126">
        <f>+C16+C17+C18+C19+C29+C30+C31+C32+C33+C34+C35+C36+C57+C61+C62+C70+C74+C123+C132+C78+C87+C92+C127+C136+C160+C165+C177+C203+C181+C169+C186+C187+C188+C189+C196+C185</f>
        <v>71600025</v>
      </c>
      <c r="D211" s="125"/>
    </row>
    <row r="212" spans="1:7" x14ac:dyDescent="0.2">
      <c r="A212" s="123"/>
      <c r="B212" s="94" t="s">
        <v>75</v>
      </c>
      <c r="C212" s="126">
        <f>+C88</f>
        <v>23788724</v>
      </c>
      <c r="D212" s="125"/>
    </row>
    <row r="213" spans="1:7" x14ac:dyDescent="0.2">
      <c r="A213" s="123"/>
      <c r="B213" s="94" t="s">
        <v>112</v>
      </c>
      <c r="C213" s="126">
        <f>+C79+C150+C207+C208+C128</f>
        <v>97433855</v>
      </c>
      <c r="D213" s="125"/>
    </row>
    <row r="214" spans="1:7" x14ac:dyDescent="0.2">
      <c r="A214" s="123"/>
      <c r="B214" s="94" t="s">
        <v>332</v>
      </c>
      <c r="C214" s="126">
        <f>+C115</f>
        <v>106168727</v>
      </c>
      <c r="D214" s="125"/>
    </row>
    <row r="215" spans="1:7" x14ac:dyDescent="0.2">
      <c r="A215" s="123"/>
      <c r="B215" s="94" t="s">
        <v>333</v>
      </c>
      <c r="C215" s="126">
        <f>+C137+C138+C151+C161</f>
        <v>46237680</v>
      </c>
      <c r="D215" s="125"/>
    </row>
    <row r="216" spans="1:7" x14ac:dyDescent="0.2">
      <c r="A216" s="123"/>
      <c r="B216" s="94"/>
      <c r="C216" s="126"/>
      <c r="D216" s="125"/>
    </row>
    <row r="217" spans="1:7" x14ac:dyDescent="0.2">
      <c r="A217" s="123"/>
      <c r="B217" s="107" t="s">
        <v>94</v>
      </c>
      <c r="C217" s="124">
        <f>SUM(C218:C222)</f>
        <v>90287362</v>
      </c>
      <c r="D217" s="125"/>
    </row>
    <row r="218" spans="1:7" x14ac:dyDescent="0.2">
      <c r="A218" s="123"/>
      <c r="B218" s="94" t="s">
        <v>68</v>
      </c>
      <c r="C218" s="126">
        <f>+C12+C25+C40+C41+C42+C43+C173+C192+C199</f>
        <v>7095684</v>
      </c>
      <c r="D218" s="125"/>
    </row>
    <row r="219" spans="1:7" x14ac:dyDescent="0.2">
      <c r="A219" s="123"/>
      <c r="B219" s="94" t="s">
        <v>75</v>
      </c>
      <c r="C219" s="126"/>
      <c r="D219" s="125"/>
    </row>
    <row r="220" spans="1:7" x14ac:dyDescent="0.2">
      <c r="A220" s="123"/>
      <c r="B220" s="94" t="s">
        <v>112</v>
      </c>
      <c r="C220" s="126">
        <f>+C83+C155</f>
        <v>6653044</v>
      </c>
      <c r="D220" s="125"/>
    </row>
    <row r="221" spans="1:7" x14ac:dyDescent="0.2">
      <c r="A221" s="123"/>
      <c r="B221" s="94" t="s">
        <v>332</v>
      </c>
      <c r="C221" s="126">
        <f>+C53+C97+C119+C142</f>
        <v>7140301</v>
      </c>
      <c r="D221" s="125"/>
    </row>
    <row r="222" spans="1:7" ht="15" thickBot="1" x14ac:dyDescent="0.25">
      <c r="A222" s="127"/>
      <c r="B222" s="128" t="s">
        <v>333</v>
      </c>
      <c r="C222" s="129">
        <f>+C23+C48+C98+C99+C100+C101+C102+C103+C104+C105+C106+C107+C108+C111+C143+C146+C156</f>
        <v>69398333</v>
      </c>
      <c r="D222" s="130"/>
    </row>
    <row r="223" spans="1:7" ht="34.5" customHeight="1" thickBot="1" x14ac:dyDescent="0.25">
      <c r="A223" s="678" t="s">
        <v>826</v>
      </c>
      <c r="B223" s="679"/>
      <c r="C223" s="679"/>
      <c r="D223" s="680"/>
      <c r="E223" s="68"/>
      <c r="F223" s="68"/>
      <c r="G223" s="68"/>
    </row>
    <row r="224" spans="1:7" x14ac:dyDescent="0.2">
      <c r="A224" s="458" t="s">
        <v>949</v>
      </c>
      <c r="C224" s="69"/>
    </row>
    <row r="225" spans="3:7" x14ac:dyDescent="0.2">
      <c r="C225" s="67"/>
      <c r="G225" s="67"/>
    </row>
    <row r="226" spans="3:7" x14ac:dyDescent="0.2">
      <c r="C226" s="67"/>
      <c r="G226" s="67"/>
    </row>
    <row r="227" spans="3:7" x14ac:dyDescent="0.2">
      <c r="C227" s="69"/>
    </row>
    <row r="229" spans="3:7" x14ac:dyDescent="0.2">
      <c r="C229" s="35"/>
      <c r="D229" s="67"/>
    </row>
    <row r="230" spans="3:7" x14ac:dyDescent="0.2">
      <c r="C230" s="35"/>
    </row>
    <row r="231" spans="3:7" x14ac:dyDescent="0.2">
      <c r="C231" s="69"/>
    </row>
    <row r="233" spans="3:7" x14ac:dyDescent="0.2">
      <c r="D233" s="67"/>
    </row>
    <row r="235" spans="3:7" x14ac:dyDescent="0.2">
      <c r="D235" s="67"/>
    </row>
    <row r="238" spans="3:7" x14ac:dyDescent="0.2">
      <c r="D238" s="67"/>
    </row>
    <row r="239" spans="3:7" x14ac:dyDescent="0.2">
      <c r="D239" s="67"/>
    </row>
  </sheetData>
  <mergeCells count="6">
    <mergeCell ref="A223:D223"/>
    <mergeCell ref="A205:B205"/>
    <mergeCell ref="A85:B85"/>
    <mergeCell ref="A1:D1"/>
    <mergeCell ref="A2:D2"/>
    <mergeCell ref="A3:C3"/>
  </mergeCells>
  <printOptions horizontalCentered="1" gridLines="1"/>
  <pageMargins left="0.59055118110236227" right="0.59055118110236227" top="1.3779527559055118" bottom="1.2598425196850394" header="0.98425196850393704" footer="1.1023622047244095"/>
  <pageSetup scale="70" fitToHeight="5" orientation="portrait" r:id="rId1"/>
  <headerFooter>
    <oddHeader>&amp;R&amp;"Arial,Negrita"&amp;9Ley N&amp;Xo&amp;X. 877
Anexo N&amp;Xo&amp;X. II</oddHeader>
    <oddFooter>&amp;C&amp;"Arial,Negrita"&amp;9&amp;P/&amp;P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showGridLines="0" zoomScaleNormal="100" zoomScalePageLayoutView="55" workbookViewId="0">
      <selection activeCell="C16" sqref="C16"/>
    </sheetView>
  </sheetViews>
  <sheetFormatPr baseColWidth="10" defaultColWidth="11.42578125" defaultRowHeight="21.75" x14ac:dyDescent="0.55000000000000004"/>
  <cols>
    <col min="1" max="1" width="5.140625" style="26" bestFit="1" customWidth="1"/>
    <col min="2" max="2" width="10.42578125" style="26" bestFit="1" customWidth="1"/>
    <col min="3" max="3" width="64.42578125" style="26" customWidth="1"/>
    <col min="4" max="4" width="14.5703125" style="26" bestFit="1" customWidth="1"/>
    <col min="5" max="5" width="14.140625" style="26" bestFit="1" customWidth="1"/>
    <col min="6" max="6" width="14.5703125" style="26" bestFit="1" customWidth="1"/>
    <col min="7" max="7" width="61.140625" style="26" customWidth="1"/>
    <col min="8" max="8" width="22.7109375" style="25" customWidth="1"/>
    <col min="9" max="9" width="20.85546875" style="26" customWidth="1"/>
    <col min="10" max="16384" width="11.42578125" style="26"/>
  </cols>
  <sheetData>
    <row r="1" spans="1:9" x14ac:dyDescent="0.55000000000000004">
      <c r="A1" s="693" t="s">
        <v>924</v>
      </c>
      <c r="B1" s="693"/>
      <c r="C1" s="693"/>
      <c r="D1" s="693"/>
      <c r="E1" s="693"/>
      <c r="F1" s="693"/>
      <c r="G1" s="693"/>
    </row>
    <row r="2" spans="1:9" ht="23.25" x14ac:dyDescent="0.55000000000000004">
      <c r="A2" s="694" t="s">
        <v>925</v>
      </c>
      <c r="B2" s="694"/>
      <c r="C2" s="694"/>
      <c r="D2" s="694"/>
      <c r="E2" s="694"/>
      <c r="F2" s="694"/>
      <c r="G2" s="694"/>
    </row>
    <row r="3" spans="1:9" x14ac:dyDescent="0.55000000000000004">
      <c r="A3" s="177"/>
      <c r="B3" s="177"/>
      <c r="C3" s="178"/>
      <c r="D3" s="177"/>
      <c r="E3" s="177"/>
      <c r="F3" s="177"/>
      <c r="G3" s="179"/>
    </row>
    <row r="4" spans="1:9" ht="32.450000000000003" customHeight="1" x14ac:dyDescent="0.55000000000000004">
      <c r="A4" s="695" t="s">
        <v>828</v>
      </c>
      <c r="B4" s="695" t="s">
        <v>1</v>
      </c>
      <c r="C4" s="695" t="s">
        <v>829</v>
      </c>
      <c r="D4" s="696" t="s">
        <v>830</v>
      </c>
      <c r="E4" s="696"/>
      <c r="F4" s="696"/>
      <c r="G4" s="695" t="s">
        <v>831</v>
      </c>
      <c r="H4" s="27"/>
    </row>
    <row r="5" spans="1:9" ht="25.9" customHeight="1" x14ac:dyDescent="0.55000000000000004">
      <c r="A5" s="695"/>
      <c r="B5" s="695"/>
      <c r="C5" s="695"/>
      <c r="D5" s="180" t="s">
        <v>832</v>
      </c>
      <c r="E5" s="180" t="s">
        <v>833</v>
      </c>
      <c r="F5" s="180" t="s">
        <v>409</v>
      </c>
      <c r="G5" s="695"/>
      <c r="H5" s="27"/>
    </row>
    <row r="6" spans="1:9" x14ac:dyDescent="0.55000000000000004">
      <c r="A6" s="181">
        <v>1</v>
      </c>
      <c r="B6" s="181">
        <v>525</v>
      </c>
      <c r="C6" s="182" t="s">
        <v>834</v>
      </c>
      <c r="D6" s="183">
        <v>200000</v>
      </c>
      <c r="E6" s="183">
        <v>0</v>
      </c>
      <c r="F6" s="183">
        <f t="shared" ref="F6:F28" si="0">+D6+E6</f>
        <v>200000</v>
      </c>
      <c r="G6" s="184" t="s">
        <v>835</v>
      </c>
      <c r="H6" s="27"/>
    </row>
    <row r="7" spans="1:9" x14ac:dyDescent="0.55000000000000004">
      <c r="A7" s="181">
        <f>+A6+1</f>
        <v>2</v>
      </c>
      <c r="B7" s="181">
        <v>523</v>
      </c>
      <c r="C7" s="185" t="s">
        <v>836</v>
      </c>
      <c r="D7" s="186">
        <v>100000</v>
      </c>
      <c r="E7" s="187">
        <v>0</v>
      </c>
      <c r="F7" s="188">
        <f t="shared" si="0"/>
        <v>100000</v>
      </c>
      <c r="G7" s="185" t="s">
        <v>837</v>
      </c>
      <c r="H7" s="27"/>
    </row>
    <row r="8" spans="1:9" ht="135.75" customHeight="1" x14ac:dyDescent="0.55000000000000004">
      <c r="A8" s="181">
        <f t="shared" ref="A8:A28" si="1">+A7+1</f>
        <v>3</v>
      </c>
      <c r="B8" s="181">
        <v>525</v>
      </c>
      <c r="C8" s="182" t="s">
        <v>926</v>
      </c>
      <c r="D8" s="183">
        <v>700000</v>
      </c>
      <c r="E8" s="183">
        <v>0</v>
      </c>
      <c r="F8" s="183">
        <f t="shared" si="0"/>
        <v>700000</v>
      </c>
      <c r="G8" s="213" t="s">
        <v>927</v>
      </c>
      <c r="H8" s="27"/>
      <c r="I8" s="28"/>
    </row>
    <row r="9" spans="1:9" ht="30" x14ac:dyDescent="0.55000000000000004">
      <c r="A9" s="181">
        <f t="shared" si="1"/>
        <v>4</v>
      </c>
      <c r="B9" s="181">
        <v>523</v>
      </c>
      <c r="C9" s="182" t="s">
        <v>838</v>
      </c>
      <c r="D9" s="183">
        <v>300000</v>
      </c>
      <c r="E9" s="183">
        <v>0</v>
      </c>
      <c r="F9" s="183">
        <f t="shared" si="0"/>
        <v>300000</v>
      </c>
      <c r="G9" s="182" t="s">
        <v>839</v>
      </c>
      <c r="H9" s="27"/>
      <c r="I9" s="28"/>
    </row>
    <row r="10" spans="1:9" ht="30" x14ac:dyDescent="0.55000000000000004">
      <c r="A10" s="181">
        <f t="shared" si="1"/>
        <v>5</v>
      </c>
      <c r="B10" s="189">
        <v>629</v>
      </c>
      <c r="C10" s="185" t="s">
        <v>840</v>
      </c>
      <c r="D10" s="190">
        <v>0</v>
      </c>
      <c r="E10" s="191">
        <v>100000</v>
      </c>
      <c r="F10" s="192">
        <f t="shared" si="0"/>
        <v>100000</v>
      </c>
      <c r="G10" s="193" t="s">
        <v>841</v>
      </c>
      <c r="H10" s="27"/>
      <c r="I10" s="28"/>
    </row>
    <row r="11" spans="1:9" ht="30" x14ac:dyDescent="0.55000000000000004">
      <c r="A11" s="181">
        <f t="shared" si="1"/>
        <v>6</v>
      </c>
      <c r="B11" s="181">
        <v>525</v>
      </c>
      <c r="C11" s="182" t="s">
        <v>842</v>
      </c>
      <c r="D11" s="183">
        <v>100000</v>
      </c>
      <c r="E11" s="183">
        <v>0</v>
      </c>
      <c r="F11" s="188">
        <f t="shared" si="0"/>
        <v>100000</v>
      </c>
      <c r="G11" s="182" t="s">
        <v>843</v>
      </c>
      <c r="H11" s="27"/>
      <c r="I11" s="29"/>
    </row>
    <row r="12" spans="1:9" ht="30" x14ac:dyDescent="0.55000000000000004">
      <c r="A12" s="181">
        <f t="shared" si="1"/>
        <v>7</v>
      </c>
      <c r="B12" s="181">
        <v>521</v>
      </c>
      <c r="C12" s="194" t="s">
        <v>844</v>
      </c>
      <c r="D12" s="195">
        <v>100000</v>
      </c>
      <c r="E12" s="196">
        <v>0</v>
      </c>
      <c r="F12" s="197">
        <f t="shared" si="0"/>
        <v>100000</v>
      </c>
      <c r="G12" s="194" t="s">
        <v>835</v>
      </c>
      <c r="H12" s="27"/>
    </row>
    <row r="13" spans="1:9" x14ac:dyDescent="0.55000000000000004">
      <c r="A13" s="181">
        <f t="shared" si="1"/>
        <v>8</v>
      </c>
      <c r="B13" s="181">
        <v>529</v>
      </c>
      <c r="C13" s="182" t="s">
        <v>845</v>
      </c>
      <c r="D13" s="183">
        <v>500000</v>
      </c>
      <c r="E13" s="183">
        <v>0</v>
      </c>
      <c r="F13" s="183">
        <f t="shared" si="0"/>
        <v>500000</v>
      </c>
      <c r="G13" s="182" t="s">
        <v>846</v>
      </c>
      <c r="H13" s="27"/>
    </row>
    <row r="14" spans="1:9" ht="30" x14ac:dyDescent="0.55000000000000004">
      <c r="A14" s="181">
        <f t="shared" si="1"/>
        <v>9</v>
      </c>
      <c r="B14" s="181">
        <v>524</v>
      </c>
      <c r="C14" s="182" t="s">
        <v>847</v>
      </c>
      <c r="D14" s="183">
        <v>500000</v>
      </c>
      <c r="E14" s="183">
        <v>0</v>
      </c>
      <c r="F14" s="183">
        <f t="shared" si="0"/>
        <v>500000</v>
      </c>
      <c r="G14" s="182" t="s">
        <v>848</v>
      </c>
      <c r="H14" s="27"/>
    </row>
    <row r="15" spans="1:9" ht="30" x14ac:dyDescent="0.55000000000000004">
      <c r="A15" s="181">
        <f t="shared" si="1"/>
        <v>10</v>
      </c>
      <c r="B15" s="198">
        <v>525</v>
      </c>
      <c r="C15" s="199" t="s">
        <v>849</v>
      </c>
      <c r="D15" s="200">
        <v>250000</v>
      </c>
      <c r="E15" s="200">
        <v>0</v>
      </c>
      <c r="F15" s="183">
        <f t="shared" si="0"/>
        <v>250000</v>
      </c>
      <c r="G15" s="201" t="s">
        <v>835</v>
      </c>
      <c r="H15" s="27"/>
    </row>
    <row r="16" spans="1:9" ht="45" x14ac:dyDescent="0.55000000000000004">
      <c r="A16" s="181">
        <f t="shared" si="1"/>
        <v>11</v>
      </c>
      <c r="B16" s="198">
        <v>524</v>
      </c>
      <c r="C16" s="185" t="s">
        <v>850</v>
      </c>
      <c r="D16" s="186">
        <v>100000</v>
      </c>
      <c r="E16" s="187">
        <v>0</v>
      </c>
      <c r="F16" s="188">
        <f t="shared" si="0"/>
        <v>100000</v>
      </c>
      <c r="G16" s="185" t="s">
        <v>851</v>
      </c>
      <c r="H16" s="27"/>
    </row>
    <row r="17" spans="1:9" ht="30" x14ac:dyDescent="0.55000000000000004">
      <c r="A17" s="181">
        <f t="shared" si="1"/>
        <v>12</v>
      </c>
      <c r="B17" s="181">
        <v>525</v>
      </c>
      <c r="C17" s="185" t="s">
        <v>928</v>
      </c>
      <c r="D17" s="202">
        <v>200000</v>
      </c>
      <c r="E17" s="203">
        <v>0</v>
      </c>
      <c r="F17" s="204">
        <f t="shared" si="0"/>
        <v>200000</v>
      </c>
      <c r="G17" s="205" t="s">
        <v>852</v>
      </c>
      <c r="H17" s="27"/>
      <c r="I17" s="28"/>
    </row>
    <row r="18" spans="1:9" ht="30" x14ac:dyDescent="0.55000000000000004">
      <c r="A18" s="181">
        <f t="shared" si="1"/>
        <v>13</v>
      </c>
      <c r="B18" s="181">
        <v>525</v>
      </c>
      <c r="C18" s="185" t="s">
        <v>929</v>
      </c>
      <c r="D18" s="202">
        <v>450000</v>
      </c>
      <c r="E18" s="203">
        <v>0</v>
      </c>
      <c r="F18" s="204">
        <f t="shared" si="0"/>
        <v>450000</v>
      </c>
      <c r="G18" s="205" t="s">
        <v>852</v>
      </c>
      <c r="H18" s="27"/>
    </row>
    <row r="19" spans="1:9" x14ac:dyDescent="0.55000000000000004">
      <c r="A19" s="181">
        <f t="shared" si="1"/>
        <v>14</v>
      </c>
      <c r="B19" s="181">
        <v>523</v>
      </c>
      <c r="C19" s="185" t="s">
        <v>853</v>
      </c>
      <c r="D19" s="186">
        <v>100000</v>
      </c>
      <c r="E19" s="187">
        <v>0</v>
      </c>
      <c r="F19" s="188">
        <f t="shared" si="0"/>
        <v>100000</v>
      </c>
      <c r="G19" s="206" t="s">
        <v>835</v>
      </c>
      <c r="H19" s="26"/>
    </row>
    <row r="20" spans="1:9" x14ac:dyDescent="0.55000000000000004">
      <c r="A20" s="181">
        <f t="shared" si="1"/>
        <v>15</v>
      </c>
      <c r="B20" s="181">
        <v>525</v>
      </c>
      <c r="C20" s="182" t="s">
        <v>854</v>
      </c>
      <c r="D20" s="187">
        <v>350000</v>
      </c>
      <c r="E20" s="187">
        <v>0</v>
      </c>
      <c r="F20" s="183">
        <f t="shared" si="0"/>
        <v>350000</v>
      </c>
      <c r="G20" s="182" t="s">
        <v>835</v>
      </c>
      <c r="H20" s="27"/>
    </row>
    <row r="21" spans="1:9" x14ac:dyDescent="0.55000000000000004">
      <c r="A21" s="181">
        <f t="shared" si="1"/>
        <v>16</v>
      </c>
      <c r="B21" s="189">
        <v>523</v>
      </c>
      <c r="C21" s="182" t="s">
        <v>855</v>
      </c>
      <c r="D21" s="183">
        <v>100000</v>
      </c>
      <c r="E21" s="183">
        <v>0</v>
      </c>
      <c r="F21" s="183">
        <f t="shared" si="0"/>
        <v>100000</v>
      </c>
      <c r="G21" s="182" t="s">
        <v>835</v>
      </c>
      <c r="H21" s="27"/>
    </row>
    <row r="22" spans="1:9" ht="30" x14ac:dyDescent="0.55000000000000004">
      <c r="A22" s="181">
        <f t="shared" si="1"/>
        <v>17</v>
      </c>
      <c r="B22" s="181">
        <v>525</v>
      </c>
      <c r="C22" s="199" t="s">
        <v>856</v>
      </c>
      <c r="D22" s="207">
        <v>100000</v>
      </c>
      <c r="E22" s="200">
        <v>0</v>
      </c>
      <c r="F22" s="204">
        <f t="shared" si="0"/>
        <v>100000</v>
      </c>
      <c r="G22" s="199" t="s">
        <v>857</v>
      </c>
      <c r="H22" s="27"/>
    </row>
    <row r="23" spans="1:9" ht="30" x14ac:dyDescent="0.55000000000000004">
      <c r="A23" s="181">
        <f t="shared" si="1"/>
        <v>18</v>
      </c>
      <c r="B23" s="181">
        <v>524</v>
      </c>
      <c r="C23" s="194" t="s">
        <v>858</v>
      </c>
      <c r="D23" s="208">
        <v>100000</v>
      </c>
      <c r="E23" s="196">
        <v>0</v>
      </c>
      <c r="F23" s="197">
        <f t="shared" si="0"/>
        <v>100000</v>
      </c>
      <c r="G23" s="194" t="s">
        <v>859</v>
      </c>
      <c r="H23" s="27"/>
    </row>
    <row r="24" spans="1:9" x14ac:dyDescent="0.55000000000000004">
      <c r="A24" s="181">
        <f t="shared" si="1"/>
        <v>19</v>
      </c>
      <c r="B24" s="181">
        <v>523</v>
      </c>
      <c r="C24" s="182" t="s">
        <v>860</v>
      </c>
      <c r="D24" s="187">
        <v>250000</v>
      </c>
      <c r="E24" s="187">
        <v>0</v>
      </c>
      <c r="F24" s="183">
        <f t="shared" si="0"/>
        <v>250000</v>
      </c>
      <c r="G24" s="182" t="s">
        <v>861</v>
      </c>
      <c r="H24" s="27"/>
    </row>
    <row r="25" spans="1:9" x14ac:dyDescent="0.55000000000000004">
      <c r="A25" s="181">
        <f t="shared" si="1"/>
        <v>20</v>
      </c>
      <c r="B25" s="181">
        <v>529</v>
      </c>
      <c r="C25" s="182" t="s">
        <v>862</v>
      </c>
      <c r="D25" s="183">
        <v>300000</v>
      </c>
      <c r="E25" s="183">
        <v>0</v>
      </c>
      <c r="F25" s="183">
        <f t="shared" si="0"/>
        <v>300000</v>
      </c>
      <c r="G25" s="182" t="s">
        <v>919</v>
      </c>
      <c r="H25" s="27"/>
    </row>
    <row r="26" spans="1:9" ht="33.75" x14ac:dyDescent="0.55000000000000004">
      <c r="A26" s="181">
        <f t="shared" si="1"/>
        <v>21</v>
      </c>
      <c r="B26" s="181">
        <v>525</v>
      </c>
      <c r="C26" s="182" t="s">
        <v>930</v>
      </c>
      <c r="D26" s="187">
        <v>200000</v>
      </c>
      <c r="E26" s="187">
        <v>0</v>
      </c>
      <c r="F26" s="183">
        <f t="shared" si="0"/>
        <v>200000</v>
      </c>
      <c r="G26" s="182" t="s">
        <v>863</v>
      </c>
      <c r="H26" s="27"/>
    </row>
    <row r="27" spans="1:9" ht="33" x14ac:dyDescent="0.55000000000000004">
      <c r="A27" s="181">
        <f t="shared" si="1"/>
        <v>22</v>
      </c>
      <c r="B27" s="181">
        <v>525</v>
      </c>
      <c r="C27" s="182" t="s">
        <v>931</v>
      </c>
      <c r="D27" s="187">
        <v>100000</v>
      </c>
      <c r="E27" s="187">
        <v>0</v>
      </c>
      <c r="F27" s="183">
        <f t="shared" si="0"/>
        <v>100000</v>
      </c>
      <c r="G27" s="182" t="s">
        <v>864</v>
      </c>
      <c r="H27" s="27"/>
    </row>
    <row r="28" spans="1:9" ht="30" x14ac:dyDescent="0.55000000000000004">
      <c r="A28" s="181">
        <f t="shared" si="1"/>
        <v>23</v>
      </c>
      <c r="B28" s="181">
        <v>629</v>
      </c>
      <c r="C28" s="182" t="s">
        <v>865</v>
      </c>
      <c r="D28" s="187">
        <v>0</v>
      </c>
      <c r="E28" s="187">
        <v>125000</v>
      </c>
      <c r="F28" s="183">
        <f t="shared" si="0"/>
        <v>125000</v>
      </c>
      <c r="G28" s="182" t="s">
        <v>866</v>
      </c>
      <c r="H28" s="27"/>
    </row>
    <row r="29" spans="1:9" x14ac:dyDescent="0.55000000000000004">
      <c r="A29" s="209"/>
      <c r="B29" s="209"/>
      <c r="C29" s="210" t="s">
        <v>409</v>
      </c>
      <c r="D29" s="211">
        <f>SUM(D6:D28)</f>
        <v>5100000</v>
      </c>
      <c r="E29" s="211">
        <f>SUM(E6:E28)</f>
        <v>225000</v>
      </c>
      <c r="F29" s="211">
        <f>SUM(F6:F28)</f>
        <v>5325000</v>
      </c>
      <c r="G29" s="209"/>
    </row>
    <row r="30" spans="1:9" ht="14.25" customHeight="1" x14ac:dyDescent="0.55000000000000004">
      <c r="A30" s="212"/>
      <c r="B30" s="212"/>
      <c r="C30" s="212"/>
      <c r="D30" s="212"/>
      <c r="E30" s="212"/>
      <c r="F30" s="212"/>
      <c r="G30" s="212"/>
    </row>
    <row r="31" spans="1:9" ht="31.5" customHeight="1" x14ac:dyDescent="0.55000000000000004">
      <c r="A31" s="212"/>
      <c r="B31" s="691" t="s">
        <v>932</v>
      </c>
      <c r="C31" s="691"/>
      <c r="D31" s="691"/>
      <c r="E31" s="691"/>
      <c r="F31" s="691"/>
      <c r="G31" s="691"/>
    </row>
    <row r="32" spans="1:9" ht="9" customHeight="1" x14ac:dyDescent="0.55000000000000004">
      <c r="A32" s="212"/>
      <c r="B32" s="212"/>
      <c r="C32" s="212"/>
      <c r="D32" s="212"/>
      <c r="E32" s="212"/>
      <c r="F32" s="212"/>
      <c r="G32" s="212"/>
    </row>
    <row r="33" spans="1:8" ht="67.5" customHeight="1" x14ac:dyDescent="0.55000000000000004">
      <c r="A33" s="212"/>
      <c r="B33" s="691" t="s">
        <v>933</v>
      </c>
      <c r="C33" s="691"/>
      <c r="D33" s="691"/>
      <c r="E33" s="691"/>
      <c r="F33" s="691"/>
      <c r="G33" s="691"/>
      <c r="H33" s="26"/>
    </row>
    <row r="34" spans="1:8" ht="10.5" customHeight="1" x14ac:dyDescent="0.55000000000000004">
      <c r="A34" s="212"/>
      <c r="B34" s="212"/>
      <c r="C34" s="212"/>
      <c r="D34" s="212"/>
      <c r="E34" s="212"/>
      <c r="F34" s="212"/>
      <c r="G34" s="212"/>
      <c r="H34" s="26"/>
    </row>
    <row r="35" spans="1:8" ht="24" customHeight="1" x14ac:dyDescent="0.55000000000000004">
      <c r="A35" s="212"/>
      <c r="B35" s="692" t="s">
        <v>934</v>
      </c>
      <c r="C35" s="692"/>
      <c r="D35" s="692"/>
      <c r="E35" s="692"/>
      <c r="F35" s="692"/>
      <c r="G35" s="692"/>
      <c r="H35" s="26"/>
    </row>
    <row r="36" spans="1:8" ht="9.75" customHeight="1" x14ac:dyDescent="0.55000000000000004">
      <c r="A36" s="212"/>
      <c r="B36" s="212"/>
      <c r="C36" s="212"/>
      <c r="D36" s="212"/>
      <c r="E36" s="212"/>
      <c r="F36" s="212"/>
      <c r="G36" s="212"/>
      <c r="H36" s="26"/>
    </row>
    <row r="37" spans="1:8" x14ac:dyDescent="0.55000000000000004">
      <c r="A37" s="212"/>
      <c r="B37" s="691" t="s">
        <v>935</v>
      </c>
      <c r="C37" s="691"/>
      <c r="D37" s="691"/>
      <c r="E37" s="691"/>
      <c r="F37" s="691"/>
      <c r="G37" s="691"/>
      <c r="H37" s="26"/>
    </row>
    <row r="38" spans="1:8" ht="9.75" customHeight="1" x14ac:dyDescent="0.55000000000000004">
      <c r="A38" s="212"/>
      <c r="B38" s="212"/>
      <c r="C38" s="212"/>
      <c r="D38" s="212"/>
      <c r="E38" s="212"/>
      <c r="F38" s="212"/>
      <c r="G38" s="212"/>
      <c r="H38" s="26"/>
    </row>
    <row r="39" spans="1:8" x14ac:dyDescent="0.55000000000000004">
      <c r="A39" s="212"/>
      <c r="B39" s="692" t="s">
        <v>936</v>
      </c>
      <c r="C39" s="692"/>
      <c r="D39" s="692"/>
      <c r="E39" s="212"/>
      <c r="F39" s="212"/>
      <c r="G39" s="212"/>
      <c r="H39" s="26"/>
    </row>
    <row r="40" spans="1:8" x14ac:dyDescent="0.55000000000000004">
      <c r="B40" s="212"/>
      <c r="C40" s="212"/>
      <c r="D40" s="212"/>
      <c r="E40" s="212"/>
      <c r="F40" s="212"/>
      <c r="G40" s="214"/>
      <c r="H40" s="212"/>
    </row>
    <row r="41" spans="1:8" x14ac:dyDescent="0.55000000000000004">
      <c r="B41" s="212"/>
      <c r="C41" s="212"/>
      <c r="D41" s="212"/>
      <c r="E41" s="212"/>
      <c r="F41" s="212"/>
      <c r="G41" s="214"/>
      <c r="H41" s="212"/>
    </row>
    <row r="42" spans="1:8" x14ac:dyDescent="0.55000000000000004">
      <c r="B42" s="212"/>
      <c r="C42" s="212"/>
      <c r="D42" s="212"/>
      <c r="E42" s="212"/>
      <c r="F42" s="212"/>
      <c r="G42" s="214"/>
      <c r="H42" s="212"/>
    </row>
    <row r="43" spans="1:8" x14ac:dyDescent="0.55000000000000004">
      <c r="E43" s="28"/>
      <c r="H43" s="26"/>
    </row>
    <row r="44" spans="1:8" x14ac:dyDescent="0.55000000000000004">
      <c r="E44" s="28"/>
      <c r="H44" s="26"/>
    </row>
    <row r="45" spans="1:8" x14ac:dyDescent="0.55000000000000004">
      <c r="E45" s="28"/>
      <c r="G45" s="28"/>
      <c r="H45" s="26"/>
    </row>
  </sheetData>
  <mergeCells count="12">
    <mergeCell ref="A1:G1"/>
    <mergeCell ref="A2:G2"/>
    <mergeCell ref="A4:A5"/>
    <mergeCell ref="B4:B5"/>
    <mergeCell ref="C4:C5"/>
    <mergeCell ref="D4:F4"/>
    <mergeCell ref="G4:G5"/>
    <mergeCell ref="B31:G31"/>
    <mergeCell ref="B33:G33"/>
    <mergeCell ref="B35:G35"/>
    <mergeCell ref="B37:G37"/>
    <mergeCell ref="B39:D39"/>
  </mergeCells>
  <printOptions horizontalCentered="1"/>
  <pageMargins left="0.59055118110236227" right="0.59055118110236227" top="1.3779527559055118" bottom="1.2598425196850394" header="0.98425196850393704" footer="1.1023622047244095"/>
  <pageSetup scale="67" orientation="landscape" r:id="rId1"/>
  <headerFooter>
    <oddHeader xml:space="preserve">&amp;R&amp;"-,Negrita"&amp;9Ley N&amp;Xo&amp;X. 877                           &amp;K00+000 .  &amp;K01+000             
Anexo N&amp;Xo&amp;X. II - A&amp;K00+000......              ....... &amp;K000000   &amp;K01+000          </oddHeader>
    <oddFooter>&amp;R&amp;"Arial,Negrita"&amp;9&amp;P/&amp;N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zoomScaleNormal="100" workbookViewId="0">
      <selection activeCell="B8" sqref="B8"/>
    </sheetView>
  </sheetViews>
  <sheetFormatPr baseColWidth="10" defaultColWidth="11.42578125" defaultRowHeight="21.75" x14ac:dyDescent="0.55000000000000004"/>
  <cols>
    <col min="1" max="1" width="5.7109375" style="30" customWidth="1"/>
    <col min="2" max="2" width="10.42578125" style="30" bestFit="1" customWidth="1"/>
    <col min="3" max="3" width="63.5703125" style="26" customWidth="1"/>
    <col min="4" max="4" width="14.5703125" style="31" customWidth="1"/>
    <col min="5" max="5" width="14.5703125" style="31" bestFit="1" customWidth="1"/>
    <col min="6" max="6" width="14.5703125" style="31" customWidth="1"/>
    <col min="7" max="7" width="56" style="31" customWidth="1"/>
    <col min="8" max="9" width="11.42578125" style="26"/>
    <col min="10" max="10" width="19.28515625" style="26" customWidth="1"/>
    <col min="11" max="16384" width="11.42578125" style="26"/>
  </cols>
  <sheetData>
    <row r="1" spans="1:7" x14ac:dyDescent="0.55000000000000004">
      <c r="A1" s="698" t="s">
        <v>938</v>
      </c>
      <c r="B1" s="698"/>
      <c r="C1" s="698"/>
      <c r="D1" s="698"/>
      <c r="E1" s="698"/>
      <c r="F1" s="698"/>
      <c r="G1" s="698"/>
    </row>
    <row r="2" spans="1:7" ht="24" customHeight="1" x14ac:dyDescent="0.55000000000000004">
      <c r="A2" s="699" t="s">
        <v>939</v>
      </c>
      <c r="B2" s="699"/>
      <c r="C2" s="699"/>
      <c r="D2" s="699"/>
      <c r="E2" s="699"/>
      <c r="F2" s="699"/>
      <c r="G2" s="699"/>
    </row>
    <row r="3" spans="1:7" x14ac:dyDescent="0.55000000000000004">
      <c r="A3" s="219"/>
      <c r="B3" s="219"/>
      <c r="C3" s="220"/>
      <c r="D3" s="221"/>
      <c r="E3" s="221"/>
      <c r="F3" s="221"/>
      <c r="G3" s="222"/>
    </row>
    <row r="4" spans="1:7" x14ac:dyDescent="0.55000000000000004">
      <c r="A4" s="700" t="s">
        <v>828</v>
      </c>
      <c r="B4" s="701" t="s">
        <v>1</v>
      </c>
      <c r="C4" s="703" t="s">
        <v>829</v>
      </c>
      <c r="D4" s="703" t="s">
        <v>867</v>
      </c>
      <c r="E4" s="703"/>
      <c r="F4" s="703"/>
      <c r="G4" s="703" t="s">
        <v>831</v>
      </c>
    </row>
    <row r="5" spans="1:7" x14ac:dyDescent="0.55000000000000004">
      <c r="A5" s="700"/>
      <c r="B5" s="702"/>
      <c r="C5" s="703"/>
      <c r="D5" s="223" t="s">
        <v>832</v>
      </c>
      <c r="E5" s="223" t="s">
        <v>833</v>
      </c>
      <c r="F5" s="223" t="s">
        <v>409</v>
      </c>
      <c r="G5" s="703"/>
    </row>
    <row r="6" spans="1:7" ht="39.75" customHeight="1" x14ac:dyDescent="0.55000000000000004">
      <c r="A6" s="224">
        <v>1</v>
      </c>
      <c r="B6" s="224">
        <v>624</v>
      </c>
      <c r="C6" s="580" t="s">
        <v>868</v>
      </c>
      <c r="D6" s="225">
        <v>0</v>
      </c>
      <c r="E6" s="226">
        <v>50000</v>
      </c>
      <c r="F6" s="227">
        <f t="shared" ref="F6:F24" si="0">+D6+E6</f>
        <v>50000</v>
      </c>
      <c r="G6" s="580" t="s">
        <v>869</v>
      </c>
    </row>
    <row r="7" spans="1:7" ht="28.5" customHeight="1" x14ac:dyDescent="0.55000000000000004">
      <c r="A7" s="224">
        <v>2</v>
      </c>
      <c r="B7" s="228">
        <v>523</v>
      </c>
      <c r="C7" s="580" t="s">
        <v>870</v>
      </c>
      <c r="D7" s="225">
        <v>100000</v>
      </c>
      <c r="E7" s="225">
        <v>0</v>
      </c>
      <c r="F7" s="227">
        <f t="shared" si="0"/>
        <v>100000</v>
      </c>
      <c r="G7" s="580" t="s">
        <v>871</v>
      </c>
    </row>
    <row r="8" spans="1:7" ht="39.75" customHeight="1" x14ac:dyDescent="0.55000000000000004">
      <c r="A8" s="224">
        <v>3</v>
      </c>
      <c r="B8" s="224">
        <v>624</v>
      </c>
      <c r="C8" s="580" t="s">
        <v>872</v>
      </c>
      <c r="D8" s="225">
        <v>0</v>
      </c>
      <c r="E8" s="225">
        <v>100000</v>
      </c>
      <c r="F8" s="225">
        <f t="shared" si="0"/>
        <v>100000</v>
      </c>
      <c r="G8" s="580" t="s">
        <v>873</v>
      </c>
    </row>
    <row r="9" spans="1:7" x14ac:dyDescent="0.55000000000000004">
      <c r="A9" s="224">
        <v>4</v>
      </c>
      <c r="B9" s="224">
        <v>523</v>
      </c>
      <c r="C9" s="580" t="s">
        <v>874</v>
      </c>
      <c r="D9" s="229">
        <v>100000</v>
      </c>
      <c r="E9" s="229">
        <v>0</v>
      </c>
      <c r="F9" s="225">
        <f t="shared" si="0"/>
        <v>100000</v>
      </c>
      <c r="G9" s="580" t="s">
        <v>875</v>
      </c>
    </row>
    <row r="10" spans="1:7" ht="39.75" customHeight="1" x14ac:dyDescent="0.55000000000000004">
      <c r="A10" s="224">
        <v>5</v>
      </c>
      <c r="B10" s="224">
        <v>523</v>
      </c>
      <c r="C10" s="580" t="s">
        <v>876</v>
      </c>
      <c r="D10" s="225">
        <v>50000</v>
      </c>
      <c r="E10" s="229">
        <v>0</v>
      </c>
      <c r="F10" s="227">
        <f t="shared" si="0"/>
        <v>50000</v>
      </c>
      <c r="G10" s="580" t="s">
        <v>877</v>
      </c>
    </row>
    <row r="11" spans="1:7" x14ac:dyDescent="0.55000000000000004">
      <c r="A11" s="224">
        <v>6</v>
      </c>
      <c r="B11" s="224">
        <v>523</v>
      </c>
      <c r="C11" s="580" t="s">
        <v>878</v>
      </c>
      <c r="D11" s="225">
        <v>50000</v>
      </c>
      <c r="E11" s="229">
        <v>0</v>
      </c>
      <c r="F11" s="227">
        <f t="shared" si="0"/>
        <v>50000</v>
      </c>
      <c r="G11" s="580" t="s">
        <v>879</v>
      </c>
    </row>
    <row r="12" spans="1:7" ht="36.75" customHeight="1" x14ac:dyDescent="0.55000000000000004">
      <c r="A12" s="224">
        <v>7</v>
      </c>
      <c r="B12" s="224">
        <v>624</v>
      </c>
      <c r="C12" s="580" t="s">
        <v>880</v>
      </c>
      <c r="D12" s="229">
        <v>0</v>
      </c>
      <c r="E12" s="229">
        <v>100000</v>
      </c>
      <c r="F12" s="227">
        <f t="shared" si="0"/>
        <v>100000</v>
      </c>
      <c r="G12" s="580" t="s">
        <v>881</v>
      </c>
    </row>
    <row r="13" spans="1:7" ht="27" customHeight="1" x14ac:dyDescent="0.55000000000000004">
      <c r="A13" s="224">
        <v>8</v>
      </c>
      <c r="B13" s="224">
        <v>624</v>
      </c>
      <c r="C13" s="580" t="s">
        <v>882</v>
      </c>
      <c r="D13" s="229">
        <v>0</v>
      </c>
      <c r="E13" s="226">
        <v>100000</v>
      </c>
      <c r="F13" s="227">
        <f t="shared" si="0"/>
        <v>100000</v>
      </c>
      <c r="G13" s="580" t="s">
        <v>883</v>
      </c>
    </row>
    <row r="14" spans="1:7" ht="37.5" customHeight="1" x14ac:dyDescent="0.55000000000000004">
      <c r="A14" s="224">
        <v>9</v>
      </c>
      <c r="B14" s="224">
        <v>624</v>
      </c>
      <c r="C14" s="580" t="s">
        <v>884</v>
      </c>
      <c r="D14" s="225">
        <v>0</v>
      </c>
      <c r="E14" s="226">
        <v>100000</v>
      </c>
      <c r="F14" s="227">
        <f t="shared" si="0"/>
        <v>100000</v>
      </c>
      <c r="G14" s="580" t="s">
        <v>885</v>
      </c>
    </row>
    <row r="15" spans="1:7" ht="39.75" customHeight="1" x14ac:dyDescent="0.55000000000000004">
      <c r="A15" s="224">
        <v>10</v>
      </c>
      <c r="B15" s="224">
        <v>523</v>
      </c>
      <c r="C15" s="580" t="s">
        <v>886</v>
      </c>
      <c r="D15" s="225">
        <v>100000</v>
      </c>
      <c r="E15" s="225">
        <v>0</v>
      </c>
      <c r="F15" s="227">
        <f t="shared" si="0"/>
        <v>100000</v>
      </c>
      <c r="G15" s="580" t="s">
        <v>887</v>
      </c>
    </row>
    <row r="16" spans="1:7" ht="27.75" customHeight="1" x14ac:dyDescent="0.55000000000000004">
      <c r="A16" s="224">
        <v>11</v>
      </c>
      <c r="B16" s="224">
        <v>624</v>
      </c>
      <c r="C16" s="580" t="s">
        <v>888</v>
      </c>
      <c r="D16" s="225">
        <v>0</v>
      </c>
      <c r="E16" s="225">
        <v>200000</v>
      </c>
      <c r="F16" s="227">
        <f t="shared" si="0"/>
        <v>200000</v>
      </c>
      <c r="G16" s="580" t="s">
        <v>889</v>
      </c>
    </row>
    <row r="17" spans="1:7" ht="36.75" customHeight="1" x14ac:dyDescent="0.55000000000000004">
      <c r="A17" s="224">
        <v>12</v>
      </c>
      <c r="B17" s="224">
        <v>523</v>
      </c>
      <c r="C17" s="580" t="s">
        <v>890</v>
      </c>
      <c r="D17" s="225">
        <v>100000</v>
      </c>
      <c r="E17" s="225">
        <v>0</v>
      </c>
      <c r="F17" s="225">
        <f t="shared" si="0"/>
        <v>100000</v>
      </c>
      <c r="G17" s="580" t="s">
        <v>891</v>
      </c>
    </row>
    <row r="18" spans="1:7" ht="26.25" customHeight="1" x14ac:dyDescent="0.55000000000000004">
      <c r="A18" s="224">
        <v>13</v>
      </c>
      <c r="B18" s="224">
        <v>523</v>
      </c>
      <c r="C18" s="580" t="s">
        <v>892</v>
      </c>
      <c r="D18" s="225">
        <v>100000</v>
      </c>
      <c r="E18" s="225">
        <v>0</v>
      </c>
      <c r="F18" s="225">
        <f t="shared" si="0"/>
        <v>100000</v>
      </c>
      <c r="G18" s="580" t="s">
        <v>891</v>
      </c>
    </row>
    <row r="19" spans="1:7" x14ac:dyDescent="0.55000000000000004">
      <c r="A19" s="224">
        <v>14</v>
      </c>
      <c r="B19" s="224">
        <v>624</v>
      </c>
      <c r="C19" s="580" t="s">
        <v>893</v>
      </c>
      <c r="D19" s="229">
        <v>0</v>
      </c>
      <c r="E19" s="229">
        <v>100000</v>
      </c>
      <c r="F19" s="229">
        <f t="shared" si="0"/>
        <v>100000</v>
      </c>
      <c r="G19" s="580" t="s">
        <v>894</v>
      </c>
    </row>
    <row r="20" spans="1:7" ht="37.5" customHeight="1" x14ac:dyDescent="0.55000000000000004">
      <c r="A20" s="224">
        <v>15</v>
      </c>
      <c r="B20" s="224">
        <v>624</v>
      </c>
      <c r="C20" s="580" t="s">
        <v>895</v>
      </c>
      <c r="D20" s="229">
        <v>0</v>
      </c>
      <c r="E20" s="226">
        <v>100000</v>
      </c>
      <c r="F20" s="227">
        <f t="shared" si="0"/>
        <v>100000</v>
      </c>
      <c r="G20" s="580" t="s">
        <v>896</v>
      </c>
    </row>
    <row r="21" spans="1:7" ht="27" customHeight="1" x14ac:dyDescent="0.55000000000000004">
      <c r="A21" s="224">
        <v>16</v>
      </c>
      <c r="B21" s="224">
        <v>624</v>
      </c>
      <c r="C21" s="580" t="s">
        <v>897</v>
      </c>
      <c r="D21" s="230">
        <v>0</v>
      </c>
      <c r="E21" s="230">
        <v>200000</v>
      </c>
      <c r="F21" s="231">
        <f t="shared" si="0"/>
        <v>200000</v>
      </c>
      <c r="G21" s="581" t="s">
        <v>898</v>
      </c>
    </row>
    <row r="22" spans="1:7" ht="39" customHeight="1" x14ac:dyDescent="0.55000000000000004">
      <c r="A22" s="224">
        <v>17</v>
      </c>
      <c r="B22" s="224">
        <v>624</v>
      </c>
      <c r="C22" s="580" t="s">
        <v>899</v>
      </c>
      <c r="D22" s="229">
        <v>0</v>
      </c>
      <c r="E22" s="229">
        <v>200000</v>
      </c>
      <c r="F22" s="231">
        <f t="shared" si="0"/>
        <v>200000</v>
      </c>
      <c r="G22" s="582" t="s">
        <v>900</v>
      </c>
    </row>
    <row r="23" spans="1:7" ht="26.25" customHeight="1" x14ac:dyDescent="0.55000000000000004">
      <c r="A23" s="224">
        <v>18</v>
      </c>
      <c r="B23" s="224">
        <v>624</v>
      </c>
      <c r="C23" s="580" t="s">
        <v>901</v>
      </c>
      <c r="D23" s="232">
        <v>0</v>
      </c>
      <c r="E23" s="233">
        <v>200000</v>
      </c>
      <c r="F23" s="231">
        <f t="shared" si="0"/>
        <v>200000</v>
      </c>
      <c r="G23" s="581" t="s">
        <v>902</v>
      </c>
    </row>
    <row r="24" spans="1:7" ht="39.75" customHeight="1" x14ac:dyDescent="0.55000000000000004">
      <c r="A24" s="224">
        <v>19</v>
      </c>
      <c r="B24" s="224">
        <v>523</v>
      </c>
      <c r="C24" s="580" t="s">
        <v>903</v>
      </c>
      <c r="D24" s="225">
        <v>100000</v>
      </c>
      <c r="E24" s="225">
        <v>0</v>
      </c>
      <c r="F24" s="225">
        <f t="shared" si="0"/>
        <v>100000</v>
      </c>
      <c r="G24" s="580" t="s">
        <v>904</v>
      </c>
    </row>
    <row r="25" spans="1:7" x14ac:dyDescent="0.55000000000000004">
      <c r="A25" s="234"/>
      <c r="B25" s="234"/>
      <c r="C25" s="235" t="s">
        <v>409</v>
      </c>
      <c r="D25" s="236">
        <f>SUM(D6:D24)</f>
        <v>700000</v>
      </c>
      <c r="E25" s="236">
        <f>SUM(E6:E24)</f>
        <v>1450000</v>
      </c>
      <c r="F25" s="236">
        <f>SUM(F6:F24)</f>
        <v>2150000</v>
      </c>
      <c r="G25" s="237"/>
    </row>
    <row r="26" spans="1:7" ht="53.25" customHeight="1" x14ac:dyDescent="0.55000000000000004">
      <c r="A26" s="697" t="s">
        <v>940</v>
      </c>
      <c r="B26" s="697"/>
      <c r="C26" s="697"/>
      <c r="D26" s="697"/>
      <c r="E26" s="697"/>
      <c r="F26" s="697"/>
      <c r="G26" s="697"/>
    </row>
    <row r="27" spans="1:7" x14ac:dyDescent="0.55000000000000004">
      <c r="B27" s="26"/>
      <c r="D27" s="26"/>
      <c r="E27" s="26"/>
      <c r="F27" s="26"/>
    </row>
    <row r="28" spans="1:7" x14ac:dyDescent="0.55000000000000004">
      <c r="D28" s="26"/>
      <c r="E28" s="26"/>
      <c r="F28" s="26"/>
      <c r="G28" s="26"/>
    </row>
  </sheetData>
  <mergeCells count="8">
    <mergeCell ref="A26:G26"/>
    <mergeCell ref="A1:G1"/>
    <mergeCell ref="A2:G2"/>
    <mergeCell ref="A4:A5"/>
    <mergeCell ref="B4:B5"/>
    <mergeCell ref="C4:C5"/>
    <mergeCell ref="D4:F4"/>
    <mergeCell ref="G4:G5"/>
  </mergeCells>
  <printOptions horizontalCentered="1"/>
  <pageMargins left="0.59055118110236227" right="0.59055118110236227" top="1.3779527559055118" bottom="1.2598425196850394" header="0.98425196850393704" footer="1.1023622047244095"/>
  <pageSetup scale="69" orientation="landscape" r:id="rId1"/>
  <headerFooter>
    <oddHeader>&amp;R&amp;"Arial,Negrita"&amp;9Ley N&amp;Xo&amp;X. 877&amp;K00+000.....................&amp;K01+000
Anexo N&amp;Xo&amp;X. II - B&amp;K00+000.................</oddHeader>
    <oddFooter>&amp;R&amp;"Arial,Negrita"&amp;9&amp;P/&amp;N&amp;K00+000..............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8"/>
  <sheetViews>
    <sheetView view="pageBreakPreview" topLeftCell="A634" zoomScale="115" zoomScaleNormal="130" zoomScaleSheetLayoutView="115" workbookViewId="0">
      <selection activeCell="B647" sqref="B647"/>
    </sheetView>
  </sheetViews>
  <sheetFormatPr baseColWidth="10" defaultColWidth="11.42578125" defaultRowHeight="15" x14ac:dyDescent="0.25"/>
  <cols>
    <col min="1" max="1" width="7.42578125" style="36" customWidth="1"/>
    <col min="2" max="2" width="54.140625" style="36" customWidth="1"/>
    <col min="3" max="3" width="13.85546875" style="36" customWidth="1"/>
    <col min="4" max="4" width="22.140625" style="36" customWidth="1"/>
    <col min="5" max="5" width="15.28515625" style="36" customWidth="1"/>
    <col min="6" max="6" width="14.5703125" style="36" customWidth="1"/>
    <col min="7" max="7" width="12.28515625" style="36" bestFit="1" customWidth="1"/>
    <col min="8" max="16384" width="11.42578125" style="36"/>
  </cols>
  <sheetData>
    <row r="1" spans="1:5" x14ac:dyDescent="0.25">
      <c r="A1" s="708" t="s">
        <v>920</v>
      </c>
      <c r="B1" s="709"/>
      <c r="C1" s="709"/>
      <c r="D1" s="710"/>
    </row>
    <row r="2" spans="1:5" x14ac:dyDescent="0.25">
      <c r="A2" s="711" t="s">
        <v>64</v>
      </c>
      <c r="B2" s="712"/>
      <c r="C2" s="712"/>
      <c r="D2" s="713"/>
    </row>
    <row r="3" spans="1:5" x14ac:dyDescent="0.25">
      <c r="A3" s="711" t="s">
        <v>814</v>
      </c>
      <c r="B3" s="712"/>
      <c r="C3" s="712"/>
      <c r="D3" s="476"/>
    </row>
    <row r="4" spans="1:5" x14ac:dyDescent="0.25">
      <c r="A4" s="560"/>
      <c r="B4" s="561"/>
      <c r="C4" s="562"/>
      <c r="D4" s="563"/>
    </row>
    <row r="5" spans="1:5" x14ac:dyDescent="0.25">
      <c r="A5" s="564"/>
      <c r="B5" s="565"/>
      <c r="C5" s="566"/>
      <c r="D5" s="567"/>
    </row>
    <row r="6" spans="1:5" x14ac:dyDescent="0.25">
      <c r="A6" s="568" t="s">
        <v>1</v>
      </c>
      <c r="B6" s="569" t="s">
        <v>2</v>
      </c>
      <c r="C6" s="570" t="s">
        <v>3</v>
      </c>
      <c r="D6" s="571" t="s">
        <v>4</v>
      </c>
    </row>
    <row r="7" spans="1:5" x14ac:dyDescent="0.25">
      <c r="A7" s="572"/>
      <c r="B7" s="573"/>
      <c r="C7" s="574"/>
      <c r="D7" s="575"/>
    </row>
    <row r="8" spans="1:5" x14ac:dyDescent="0.25">
      <c r="A8" s="481"/>
      <c r="B8" s="482"/>
      <c r="C8" s="483"/>
      <c r="D8" s="484"/>
    </row>
    <row r="9" spans="1:5" x14ac:dyDescent="0.25">
      <c r="A9" s="485" t="s">
        <v>111</v>
      </c>
      <c r="B9" s="486"/>
      <c r="C9" s="487">
        <f>+C10</f>
        <v>41688654</v>
      </c>
      <c r="D9" s="488"/>
      <c r="E9" s="39"/>
    </row>
    <row r="10" spans="1:5" x14ac:dyDescent="0.25">
      <c r="A10" s="489"/>
      <c r="B10" s="490" t="s">
        <v>66</v>
      </c>
      <c r="C10" s="487">
        <f>SUM(C11:C24)</f>
        <v>41688654</v>
      </c>
      <c r="D10" s="488"/>
    </row>
    <row r="11" spans="1:5" x14ac:dyDescent="0.25">
      <c r="A11" s="489">
        <v>211</v>
      </c>
      <c r="B11" s="501" t="s">
        <v>219</v>
      </c>
      <c r="C11" s="492">
        <v>1199654</v>
      </c>
      <c r="D11" s="501" t="s">
        <v>68</v>
      </c>
    </row>
    <row r="12" spans="1:5" x14ac:dyDescent="0.25">
      <c r="A12" s="489">
        <v>225</v>
      </c>
      <c r="B12" s="501" t="s">
        <v>401</v>
      </c>
      <c r="C12" s="492">
        <v>1250000</v>
      </c>
      <c r="D12" s="501" t="s">
        <v>68</v>
      </c>
    </row>
    <row r="13" spans="1:5" x14ac:dyDescent="0.25">
      <c r="A13" s="489">
        <v>231</v>
      </c>
      <c r="B13" s="501" t="s">
        <v>123</v>
      </c>
      <c r="C13" s="492">
        <v>5200000</v>
      </c>
      <c r="D13" s="501" t="s">
        <v>68</v>
      </c>
    </row>
    <row r="14" spans="1:5" ht="26.25" x14ac:dyDescent="0.25">
      <c r="A14" s="494">
        <v>232</v>
      </c>
      <c r="B14" s="501" t="s">
        <v>132</v>
      </c>
      <c r="C14" s="495">
        <v>4689000</v>
      </c>
      <c r="D14" s="501" t="s">
        <v>68</v>
      </c>
    </row>
    <row r="15" spans="1:5" x14ac:dyDescent="0.25">
      <c r="A15" s="494">
        <v>233</v>
      </c>
      <c r="B15" s="501" t="s">
        <v>133</v>
      </c>
      <c r="C15" s="495">
        <v>2100000</v>
      </c>
      <c r="D15" s="501" t="s">
        <v>68</v>
      </c>
    </row>
    <row r="16" spans="1:5" ht="26.25" x14ac:dyDescent="0.25">
      <c r="A16" s="496">
        <v>244</v>
      </c>
      <c r="B16" s="501" t="s">
        <v>99</v>
      </c>
      <c r="C16" s="492">
        <v>15000000</v>
      </c>
      <c r="D16" s="501" t="s">
        <v>112</v>
      </c>
    </row>
    <row r="17" spans="1:4" x14ac:dyDescent="0.25">
      <c r="A17" s="489">
        <v>252</v>
      </c>
      <c r="B17" s="501" t="s">
        <v>83</v>
      </c>
      <c r="C17" s="492">
        <v>1000000</v>
      </c>
      <c r="D17" s="501" t="s">
        <v>68</v>
      </c>
    </row>
    <row r="18" spans="1:4" x14ac:dyDescent="0.25">
      <c r="A18" s="496">
        <v>253</v>
      </c>
      <c r="B18" s="501" t="s">
        <v>405</v>
      </c>
      <c r="C18" s="492">
        <v>1750000</v>
      </c>
      <c r="D18" s="501" t="s">
        <v>68</v>
      </c>
    </row>
    <row r="19" spans="1:4" x14ac:dyDescent="0.25">
      <c r="A19" s="489">
        <v>272</v>
      </c>
      <c r="B19" s="501" t="s">
        <v>113</v>
      </c>
      <c r="C19" s="492">
        <v>1000000</v>
      </c>
      <c r="D19" s="501" t="s">
        <v>68</v>
      </c>
    </row>
    <row r="20" spans="1:4" x14ac:dyDescent="0.25">
      <c r="A20" s="496">
        <v>274</v>
      </c>
      <c r="B20" s="501" t="s">
        <v>115</v>
      </c>
      <c r="C20" s="492">
        <v>1000000</v>
      </c>
      <c r="D20" s="501" t="s">
        <v>68</v>
      </c>
    </row>
    <row r="21" spans="1:4" x14ac:dyDescent="0.25">
      <c r="A21" s="489">
        <v>342</v>
      </c>
      <c r="B21" s="501" t="s">
        <v>227</v>
      </c>
      <c r="C21" s="492">
        <v>2000000</v>
      </c>
      <c r="D21" s="501" t="s">
        <v>68</v>
      </c>
    </row>
    <row r="22" spans="1:4" x14ac:dyDescent="0.25">
      <c r="A22" s="489">
        <v>362</v>
      </c>
      <c r="B22" s="501" t="s">
        <v>117</v>
      </c>
      <c r="C22" s="492">
        <v>4000000</v>
      </c>
      <c r="D22" s="501" t="s">
        <v>68</v>
      </c>
    </row>
    <row r="23" spans="1:4" x14ac:dyDescent="0.25">
      <c r="A23" s="496">
        <v>365</v>
      </c>
      <c r="B23" s="501" t="s">
        <v>218</v>
      </c>
      <c r="C23" s="492">
        <v>1000000</v>
      </c>
      <c r="D23" s="501" t="s">
        <v>68</v>
      </c>
    </row>
    <row r="24" spans="1:4" x14ac:dyDescent="0.25">
      <c r="A24" s="489">
        <v>369</v>
      </c>
      <c r="B24" s="501" t="s">
        <v>137</v>
      </c>
      <c r="C24" s="492">
        <v>500000</v>
      </c>
      <c r="D24" s="501" t="s">
        <v>68</v>
      </c>
    </row>
    <row r="25" spans="1:4" x14ac:dyDescent="0.25">
      <c r="A25" s="489"/>
      <c r="B25" s="491"/>
      <c r="C25" s="492"/>
      <c r="D25" s="493"/>
    </row>
    <row r="26" spans="1:4" x14ac:dyDescent="0.25">
      <c r="A26" s="485" t="s">
        <v>118</v>
      </c>
      <c r="B26" s="486"/>
      <c r="C26" s="487">
        <f>+C27</f>
        <v>3024946</v>
      </c>
      <c r="D26" s="497"/>
    </row>
    <row r="27" spans="1:4" x14ac:dyDescent="0.25">
      <c r="A27" s="489"/>
      <c r="B27" s="490" t="s">
        <v>66</v>
      </c>
      <c r="C27" s="487">
        <f>SUM(C28:C31)</f>
        <v>3024946</v>
      </c>
      <c r="D27" s="497"/>
    </row>
    <row r="28" spans="1:4" x14ac:dyDescent="0.25">
      <c r="A28" s="489">
        <v>211</v>
      </c>
      <c r="B28" s="501" t="s">
        <v>219</v>
      </c>
      <c r="C28" s="492">
        <v>2300000</v>
      </c>
      <c r="D28" s="501" t="s">
        <v>68</v>
      </c>
    </row>
    <row r="29" spans="1:4" x14ac:dyDescent="0.25">
      <c r="A29" s="489">
        <v>245</v>
      </c>
      <c r="B29" s="501" t="s">
        <v>119</v>
      </c>
      <c r="C29" s="492">
        <v>300000</v>
      </c>
      <c r="D29" s="501" t="s">
        <v>68</v>
      </c>
    </row>
    <row r="30" spans="1:4" x14ac:dyDescent="0.25">
      <c r="A30" s="489">
        <v>343</v>
      </c>
      <c r="B30" s="501" t="s">
        <v>120</v>
      </c>
      <c r="C30" s="492">
        <v>224946</v>
      </c>
      <c r="D30" s="501" t="s">
        <v>68</v>
      </c>
    </row>
    <row r="31" spans="1:4" x14ac:dyDescent="0.25">
      <c r="A31" s="496">
        <v>367</v>
      </c>
      <c r="B31" s="501" t="s">
        <v>163</v>
      </c>
      <c r="C31" s="492">
        <v>200000</v>
      </c>
      <c r="D31" s="501" t="s">
        <v>68</v>
      </c>
    </row>
    <row r="32" spans="1:4" x14ac:dyDescent="0.25">
      <c r="A32" s="489"/>
      <c r="B32" s="491"/>
      <c r="C32" s="492"/>
      <c r="D32" s="493"/>
    </row>
    <row r="33" spans="1:7" x14ac:dyDescent="0.25">
      <c r="A33" s="485" t="s">
        <v>220</v>
      </c>
      <c r="B33" s="486"/>
      <c r="C33" s="487">
        <f>+C34</f>
        <v>269679</v>
      </c>
      <c r="D33" s="497"/>
    </row>
    <row r="34" spans="1:7" x14ac:dyDescent="0.25">
      <c r="A34" s="489"/>
      <c r="B34" s="490" t="s">
        <v>66</v>
      </c>
      <c r="C34" s="487">
        <f>SUM(C35:C35)</f>
        <v>269679</v>
      </c>
      <c r="D34" s="497"/>
    </row>
    <row r="35" spans="1:7" x14ac:dyDescent="0.25">
      <c r="A35" s="496">
        <v>362</v>
      </c>
      <c r="B35" s="501" t="s">
        <v>86</v>
      </c>
      <c r="C35" s="492">
        <v>269679</v>
      </c>
      <c r="D35" s="501" t="s">
        <v>68</v>
      </c>
    </row>
    <row r="36" spans="1:7" x14ac:dyDescent="0.25">
      <c r="A36" s="489"/>
      <c r="B36" s="491"/>
      <c r="C36" s="492"/>
      <c r="D36" s="493"/>
    </row>
    <row r="37" spans="1:7" x14ac:dyDescent="0.25">
      <c r="A37" s="485" t="s">
        <v>152</v>
      </c>
      <c r="B37" s="486"/>
      <c r="C37" s="487">
        <f>+C38+C57</f>
        <v>88173203</v>
      </c>
      <c r="D37" s="488"/>
      <c r="G37" s="33"/>
    </row>
    <row r="38" spans="1:7" x14ac:dyDescent="0.25">
      <c r="A38" s="489"/>
      <c r="B38" s="490" t="s">
        <v>66</v>
      </c>
      <c r="C38" s="487">
        <f>SUM(C39:C55)</f>
        <v>51531484</v>
      </c>
      <c r="D38" s="488"/>
    </row>
    <row r="39" spans="1:7" x14ac:dyDescent="0.25">
      <c r="A39" s="496">
        <v>111</v>
      </c>
      <c r="B39" s="501" t="s">
        <v>157</v>
      </c>
      <c r="C39" s="492">
        <v>1328946</v>
      </c>
      <c r="D39" s="501" t="s">
        <v>68</v>
      </c>
    </row>
    <row r="40" spans="1:7" x14ac:dyDescent="0.25">
      <c r="A40" s="496">
        <v>113</v>
      </c>
      <c r="B40" s="501" t="s">
        <v>158</v>
      </c>
      <c r="C40" s="492">
        <v>110742</v>
      </c>
      <c r="D40" s="501" t="s">
        <v>68</v>
      </c>
    </row>
    <row r="41" spans="1:7" x14ac:dyDescent="0.25">
      <c r="A41" s="496">
        <v>114</v>
      </c>
      <c r="B41" s="501" t="s">
        <v>159</v>
      </c>
      <c r="C41" s="492">
        <v>146182</v>
      </c>
      <c r="D41" s="501" t="s">
        <v>68</v>
      </c>
    </row>
    <row r="42" spans="1:7" ht="26.25" x14ac:dyDescent="0.25">
      <c r="A42" s="496">
        <v>119</v>
      </c>
      <c r="B42" s="501" t="s">
        <v>160</v>
      </c>
      <c r="C42" s="492">
        <v>8000000</v>
      </c>
      <c r="D42" s="501" t="s">
        <v>112</v>
      </c>
    </row>
    <row r="43" spans="1:7" x14ac:dyDescent="0.25">
      <c r="A43" s="496">
        <v>191</v>
      </c>
      <c r="B43" s="501" t="s">
        <v>103</v>
      </c>
      <c r="C43" s="492">
        <v>4141917</v>
      </c>
      <c r="D43" s="501" t="s">
        <v>68</v>
      </c>
    </row>
    <row r="44" spans="1:7" x14ac:dyDescent="0.25">
      <c r="A44" s="496">
        <v>215</v>
      </c>
      <c r="B44" s="501" t="s">
        <v>92</v>
      </c>
      <c r="C44" s="492">
        <v>169378</v>
      </c>
      <c r="D44" s="501" t="s">
        <v>68</v>
      </c>
    </row>
    <row r="45" spans="1:7" x14ac:dyDescent="0.25">
      <c r="A45" s="496">
        <v>216</v>
      </c>
      <c r="B45" s="501" t="s">
        <v>131</v>
      </c>
      <c r="C45" s="492">
        <v>2059093</v>
      </c>
      <c r="D45" s="501" t="s">
        <v>68</v>
      </c>
    </row>
    <row r="46" spans="1:7" x14ac:dyDescent="0.25">
      <c r="A46" s="496">
        <v>231</v>
      </c>
      <c r="B46" s="501" t="s">
        <v>123</v>
      </c>
      <c r="C46" s="492">
        <v>261707</v>
      </c>
      <c r="D46" s="501" t="s">
        <v>68</v>
      </c>
    </row>
    <row r="47" spans="1:7" ht="26.25" x14ac:dyDescent="0.25">
      <c r="A47" s="496">
        <v>232</v>
      </c>
      <c r="B47" s="501" t="s">
        <v>132</v>
      </c>
      <c r="C47" s="492">
        <v>261707</v>
      </c>
      <c r="D47" s="501" t="s">
        <v>68</v>
      </c>
    </row>
    <row r="48" spans="1:7" ht="26.25" x14ac:dyDescent="0.25">
      <c r="A48" s="496">
        <v>232</v>
      </c>
      <c r="B48" s="501" t="s">
        <v>132</v>
      </c>
      <c r="C48" s="492">
        <v>835000</v>
      </c>
      <c r="D48" s="501" t="s">
        <v>112</v>
      </c>
    </row>
    <row r="49" spans="1:5" ht="26.25" x14ac:dyDescent="0.25">
      <c r="A49" s="496">
        <v>311</v>
      </c>
      <c r="B49" s="501" t="s">
        <v>161</v>
      </c>
      <c r="C49" s="492">
        <v>1300000</v>
      </c>
      <c r="D49" s="501" t="s">
        <v>112</v>
      </c>
    </row>
    <row r="50" spans="1:5" x14ac:dyDescent="0.25">
      <c r="A50" s="496">
        <v>333</v>
      </c>
      <c r="B50" s="501" t="s">
        <v>146</v>
      </c>
      <c r="C50" s="492">
        <v>800000</v>
      </c>
      <c r="D50" s="501" t="s">
        <v>68</v>
      </c>
    </row>
    <row r="51" spans="1:5" x14ac:dyDescent="0.25">
      <c r="A51" s="496">
        <v>346</v>
      </c>
      <c r="B51" s="501" t="s">
        <v>162</v>
      </c>
      <c r="C51" s="492">
        <f>51870000-21809133</f>
        <v>30060867</v>
      </c>
      <c r="D51" s="501" t="s">
        <v>68</v>
      </c>
    </row>
    <row r="52" spans="1:5" x14ac:dyDescent="0.25">
      <c r="A52" s="496">
        <v>353</v>
      </c>
      <c r="B52" s="501" t="s">
        <v>116</v>
      </c>
      <c r="C52" s="492">
        <v>469829</v>
      </c>
      <c r="D52" s="501" t="s">
        <v>68</v>
      </c>
    </row>
    <row r="53" spans="1:5" x14ac:dyDescent="0.25">
      <c r="A53" s="496">
        <v>362</v>
      </c>
      <c r="B53" s="501" t="s">
        <v>86</v>
      </c>
      <c r="C53" s="492">
        <v>1067351</v>
      </c>
      <c r="D53" s="501" t="s">
        <v>68</v>
      </c>
    </row>
    <row r="54" spans="1:5" x14ac:dyDescent="0.25">
      <c r="A54" s="496">
        <v>367</v>
      </c>
      <c r="B54" s="501" t="s">
        <v>163</v>
      </c>
      <c r="C54" s="492">
        <v>500000</v>
      </c>
      <c r="D54" s="501" t="s">
        <v>68</v>
      </c>
    </row>
    <row r="55" spans="1:5" x14ac:dyDescent="0.25">
      <c r="A55" s="496">
        <v>542</v>
      </c>
      <c r="B55" s="501" t="s">
        <v>164</v>
      </c>
      <c r="C55" s="492">
        <v>18765</v>
      </c>
      <c r="D55" s="501" t="s">
        <v>68</v>
      </c>
    </row>
    <row r="56" spans="1:5" x14ac:dyDescent="0.25">
      <c r="A56" s="498"/>
      <c r="B56" s="499"/>
      <c r="C56" s="500"/>
      <c r="D56" s="501"/>
    </row>
    <row r="57" spans="1:5" x14ac:dyDescent="0.25">
      <c r="A57" s="498"/>
      <c r="B57" s="490" t="s">
        <v>94</v>
      </c>
      <c r="C57" s="487">
        <f>+C58+C68</f>
        <v>36641719</v>
      </c>
      <c r="D57" s="501"/>
    </row>
    <row r="58" spans="1:5" x14ac:dyDescent="0.25">
      <c r="A58" s="498"/>
      <c r="B58" s="490" t="s">
        <v>73</v>
      </c>
      <c r="C58" s="487">
        <f>SUM(C59:C66)</f>
        <v>30700000</v>
      </c>
      <c r="D58" s="501"/>
      <c r="E58" s="40"/>
    </row>
    <row r="59" spans="1:5" x14ac:dyDescent="0.25">
      <c r="A59" s="496"/>
      <c r="B59" s="501" t="s">
        <v>794</v>
      </c>
      <c r="C59" s="492">
        <v>2000000</v>
      </c>
      <c r="D59" s="501" t="s">
        <v>68</v>
      </c>
    </row>
    <row r="60" spans="1:5" ht="26.25" x14ac:dyDescent="0.25">
      <c r="A60" s="496"/>
      <c r="B60" s="501" t="s">
        <v>793</v>
      </c>
      <c r="C60" s="495">
        <v>7200000</v>
      </c>
      <c r="D60" s="501" t="s">
        <v>68</v>
      </c>
    </row>
    <row r="61" spans="1:5" ht="26.25" x14ac:dyDescent="0.25">
      <c r="A61" s="496"/>
      <c r="B61" s="501" t="s">
        <v>165</v>
      </c>
      <c r="C61" s="495">
        <v>6920000</v>
      </c>
      <c r="D61" s="501" t="s">
        <v>68</v>
      </c>
    </row>
    <row r="62" spans="1:5" ht="26.25" x14ac:dyDescent="0.25">
      <c r="A62" s="496"/>
      <c r="B62" s="501" t="s">
        <v>166</v>
      </c>
      <c r="C62" s="495">
        <v>2000000</v>
      </c>
      <c r="D62" s="501" t="s">
        <v>68</v>
      </c>
    </row>
    <row r="63" spans="1:5" ht="26.25" x14ac:dyDescent="0.25">
      <c r="A63" s="496"/>
      <c r="B63" s="501" t="s">
        <v>167</v>
      </c>
      <c r="C63" s="492">
        <v>7000000</v>
      </c>
      <c r="D63" s="501" t="s">
        <v>68</v>
      </c>
    </row>
    <row r="64" spans="1:5" ht="26.25" x14ac:dyDescent="0.25">
      <c r="A64" s="496"/>
      <c r="B64" s="501" t="s">
        <v>795</v>
      </c>
      <c r="C64" s="492">
        <v>3980000</v>
      </c>
      <c r="D64" s="501" t="s">
        <v>68</v>
      </c>
    </row>
    <row r="65" spans="1:4" ht="26.25" x14ac:dyDescent="0.25">
      <c r="A65" s="496"/>
      <c r="B65" s="501" t="s">
        <v>796</v>
      </c>
      <c r="C65" s="492">
        <v>400000</v>
      </c>
      <c r="D65" s="501" t="s">
        <v>68</v>
      </c>
    </row>
    <row r="66" spans="1:4" ht="26.25" x14ac:dyDescent="0.25">
      <c r="A66" s="496"/>
      <c r="B66" s="501" t="s">
        <v>797</v>
      </c>
      <c r="C66" s="492">
        <v>1200000</v>
      </c>
      <c r="D66" s="501" t="s">
        <v>68</v>
      </c>
    </row>
    <row r="67" spans="1:4" x14ac:dyDescent="0.25">
      <c r="A67" s="502"/>
      <c r="B67" s="503"/>
      <c r="C67" s="504"/>
      <c r="D67" s="501"/>
    </row>
    <row r="68" spans="1:4" x14ac:dyDescent="0.25">
      <c r="A68" s="498"/>
      <c r="B68" s="490" t="s">
        <v>125</v>
      </c>
      <c r="C68" s="487">
        <f>SUM(C69:C70)</f>
        <v>5941719</v>
      </c>
      <c r="D68" s="501"/>
    </row>
    <row r="69" spans="1:4" x14ac:dyDescent="0.25">
      <c r="A69" s="496">
        <v>436</v>
      </c>
      <c r="B69" s="501" t="s">
        <v>169</v>
      </c>
      <c r="C69" s="492">
        <f>10558128-4616409</f>
        <v>5941719</v>
      </c>
      <c r="D69" s="501" t="s">
        <v>68</v>
      </c>
    </row>
    <row r="70" spans="1:4" x14ac:dyDescent="0.25">
      <c r="A70" s="489"/>
      <c r="B70" s="491"/>
      <c r="C70" s="492"/>
      <c r="D70" s="501"/>
    </row>
    <row r="71" spans="1:4" x14ac:dyDescent="0.25">
      <c r="A71" s="485" t="s">
        <v>170</v>
      </c>
      <c r="B71" s="486"/>
      <c r="C71" s="487">
        <f>+C72+C112</f>
        <v>27309380</v>
      </c>
      <c r="D71" s="501"/>
    </row>
    <row r="72" spans="1:4" x14ac:dyDescent="0.25">
      <c r="A72" s="489"/>
      <c r="B72" s="490" t="s">
        <v>66</v>
      </c>
      <c r="C72" s="487">
        <f>SUM(C73:C110)</f>
        <v>15476920</v>
      </c>
      <c r="D72" s="501"/>
    </row>
    <row r="73" spans="1:4" x14ac:dyDescent="0.25">
      <c r="A73" s="496">
        <v>111</v>
      </c>
      <c r="B73" s="501" t="s">
        <v>157</v>
      </c>
      <c r="C73" s="492">
        <v>322163</v>
      </c>
      <c r="D73" s="501" t="s">
        <v>68</v>
      </c>
    </row>
    <row r="74" spans="1:4" x14ac:dyDescent="0.25">
      <c r="A74" s="496">
        <v>211</v>
      </c>
      <c r="B74" s="501" t="s">
        <v>221</v>
      </c>
      <c r="C74" s="492">
        <v>310546</v>
      </c>
      <c r="D74" s="501" t="s">
        <v>68</v>
      </c>
    </row>
    <row r="75" spans="1:4" x14ac:dyDescent="0.25">
      <c r="A75" s="496">
        <v>212</v>
      </c>
      <c r="B75" s="501" t="s">
        <v>222</v>
      </c>
      <c r="C75" s="492">
        <v>66256</v>
      </c>
      <c r="D75" s="501" t="s">
        <v>68</v>
      </c>
    </row>
    <row r="76" spans="1:4" x14ac:dyDescent="0.25">
      <c r="A76" s="496">
        <v>215</v>
      </c>
      <c r="B76" s="501" t="s">
        <v>171</v>
      </c>
      <c r="C76" s="492">
        <v>808038</v>
      </c>
      <c r="D76" s="501" t="s">
        <v>68</v>
      </c>
    </row>
    <row r="77" spans="1:4" x14ac:dyDescent="0.25">
      <c r="A77" s="496">
        <v>221</v>
      </c>
      <c r="B77" s="501" t="s">
        <v>172</v>
      </c>
      <c r="C77" s="492">
        <v>180072</v>
      </c>
      <c r="D77" s="501" t="s">
        <v>68</v>
      </c>
    </row>
    <row r="78" spans="1:4" x14ac:dyDescent="0.25">
      <c r="A78" s="496">
        <v>231</v>
      </c>
      <c r="B78" s="501" t="s">
        <v>173</v>
      </c>
      <c r="C78" s="492">
        <v>250286</v>
      </c>
      <c r="D78" s="501" t="s">
        <v>68</v>
      </c>
    </row>
    <row r="79" spans="1:4" ht="26.25" x14ac:dyDescent="0.25">
      <c r="A79" s="496">
        <v>232</v>
      </c>
      <c r="B79" s="501" t="s">
        <v>174</v>
      </c>
      <c r="C79" s="492">
        <f>497250</f>
        <v>497250</v>
      </c>
      <c r="D79" s="501" t="s">
        <v>68</v>
      </c>
    </row>
    <row r="80" spans="1:4" x14ac:dyDescent="0.25">
      <c r="A80" s="496">
        <v>233</v>
      </c>
      <c r="B80" s="501" t="s">
        <v>175</v>
      </c>
      <c r="C80" s="492">
        <v>184570</v>
      </c>
      <c r="D80" s="501" t="s">
        <v>68</v>
      </c>
    </row>
    <row r="81" spans="1:4" ht="26.25" x14ac:dyDescent="0.25">
      <c r="A81" s="496">
        <v>234</v>
      </c>
      <c r="B81" s="501" t="s">
        <v>228</v>
      </c>
      <c r="C81" s="492">
        <v>1203312</v>
      </c>
      <c r="D81" s="501" t="s">
        <v>68</v>
      </c>
    </row>
    <row r="82" spans="1:4" x14ac:dyDescent="0.25">
      <c r="A82" s="496">
        <v>271</v>
      </c>
      <c r="B82" s="501" t="s">
        <v>176</v>
      </c>
      <c r="C82" s="492">
        <v>36279</v>
      </c>
      <c r="D82" s="501" t="s">
        <v>68</v>
      </c>
    </row>
    <row r="83" spans="1:4" x14ac:dyDescent="0.25">
      <c r="A83" s="496">
        <v>272</v>
      </c>
      <c r="B83" s="501" t="s">
        <v>177</v>
      </c>
      <c r="C83" s="492">
        <v>222821</v>
      </c>
      <c r="D83" s="501" t="s">
        <v>68</v>
      </c>
    </row>
    <row r="84" spans="1:4" x14ac:dyDescent="0.25">
      <c r="A84" s="496">
        <v>273</v>
      </c>
      <c r="B84" s="501" t="s">
        <v>178</v>
      </c>
      <c r="C84" s="492">
        <f>210856+28444</f>
        <v>239300</v>
      </c>
      <c r="D84" s="501" t="s">
        <v>68</v>
      </c>
    </row>
    <row r="85" spans="1:4" x14ac:dyDescent="0.25">
      <c r="A85" s="496">
        <v>274</v>
      </c>
      <c r="B85" s="501" t="s">
        <v>179</v>
      </c>
      <c r="C85" s="492">
        <v>187728</v>
      </c>
      <c r="D85" s="501" t="s">
        <v>68</v>
      </c>
    </row>
    <row r="86" spans="1:4" x14ac:dyDescent="0.25">
      <c r="A86" s="496">
        <v>279</v>
      </c>
      <c r="B86" s="501" t="s">
        <v>223</v>
      </c>
      <c r="C86" s="492">
        <v>72442</v>
      </c>
      <c r="D86" s="501" t="s">
        <v>68</v>
      </c>
    </row>
    <row r="87" spans="1:4" x14ac:dyDescent="0.25">
      <c r="A87" s="496">
        <v>291</v>
      </c>
      <c r="B87" s="501" t="s">
        <v>798</v>
      </c>
      <c r="C87" s="492">
        <v>66316</v>
      </c>
      <c r="D87" s="501" t="s">
        <v>68</v>
      </c>
    </row>
    <row r="88" spans="1:4" x14ac:dyDescent="0.25">
      <c r="A88" s="496">
        <v>314</v>
      </c>
      <c r="B88" s="501" t="s">
        <v>180</v>
      </c>
      <c r="C88" s="492">
        <v>88685</v>
      </c>
      <c r="D88" s="501" t="s">
        <v>68</v>
      </c>
    </row>
    <row r="89" spans="1:4" x14ac:dyDescent="0.25">
      <c r="A89" s="496">
        <v>331</v>
      </c>
      <c r="B89" s="501" t="s">
        <v>181</v>
      </c>
      <c r="C89" s="492">
        <v>472373</v>
      </c>
      <c r="D89" s="501" t="s">
        <v>68</v>
      </c>
    </row>
    <row r="90" spans="1:4" x14ac:dyDescent="0.25">
      <c r="A90" s="496">
        <v>332</v>
      </c>
      <c r="B90" s="501" t="s">
        <v>182</v>
      </c>
      <c r="C90" s="492">
        <v>201479</v>
      </c>
      <c r="D90" s="501" t="s">
        <v>68</v>
      </c>
    </row>
    <row r="91" spans="1:4" x14ac:dyDescent="0.25">
      <c r="A91" s="496">
        <v>333</v>
      </c>
      <c r="B91" s="501" t="s">
        <v>183</v>
      </c>
      <c r="C91" s="492">
        <v>707418</v>
      </c>
      <c r="D91" s="501" t="s">
        <v>68</v>
      </c>
    </row>
    <row r="92" spans="1:4" x14ac:dyDescent="0.25">
      <c r="A92" s="496">
        <v>341</v>
      </c>
      <c r="B92" s="501" t="s">
        <v>184</v>
      </c>
      <c r="C92" s="492">
        <v>28175</v>
      </c>
      <c r="D92" s="501" t="s">
        <v>68</v>
      </c>
    </row>
    <row r="93" spans="1:4" x14ac:dyDescent="0.25">
      <c r="A93" s="496">
        <v>342</v>
      </c>
      <c r="B93" s="501" t="s">
        <v>185</v>
      </c>
      <c r="C93" s="492">
        <v>15289</v>
      </c>
      <c r="D93" s="501" t="s">
        <v>68</v>
      </c>
    </row>
    <row r="94" spans="1:4" x14ac:dyDescent="0.25">
      <c r="A94" s="496">
        <v>343</v>
      </c>
      <c r="B94" s="501" t="s">
        <v>186</v>
      </c>
      <c r="C94" s="492">
        <v>16877</v>
      </c>
      <c r="D94" s="501" t="s">
        <v>68</v>
      </c>
    </row>
    <row r="95" spans="1:4" x14ac:dyDescent="0.25">
      <c r="A95" s="496">
        <v>344</v>
      </c>
      <c r="B95" s="501" t="s">
        <v>187</v>
      </c>
      <c r="C95" s="492">
        <v>10640</v>
      </c>
      <c r="D95" s="501" t="s">
        <v>68</v>
      </c>
    </row>
    <row r="96" spans="1:4" x14ac:dyDescent="0.25">
      <c r="A96" s="496">
        <v>352</v>
      </c>
      <c r="B96" s="501" t="s">
        <v>188</v>
      </c>
      <c r="C96" s="492">
        <v>443070</v>
      </c>
      <c r="D96" s="501" t="s">
        <v>68</v>
      </c>
    </row>
    <row r="97" spans="1:4" x14ac:dyDescent="0.25">
      <c r="A97" s="496">
        <v>353</v>
      </c>
      <c r="B97" s="501" t="s">
        <v>189</v>
      </c>
      <c r="C97" s="492">
        <v>50674</v>
      </c>
      <c r="D97" s="501" t="s">
        <v>68</v>
      </c>
    </row>
    <row r="98" spans="1:4" x14ac:dyDescent="0.25">
      <c r="A98" s="496">
        <v>362</v>
      </c>
      <c r="B98" s="501" t="s">
        <v>941</v>
      </c>
      <c r="C98" s="492">
        <f>7159457</f>
        <v>7159457</v>
      </c>
      <c r="D98" s="501" t="s">
        <v>68</v>
      </c>
    </row>
    <row r="99" spans="1:4" x14ac:dyDescent="0.25">
      <c r="A99" s="496">
        <v>365</v>
      </c>
      <c r="B99" s="501" t="s">
        <v>190</v>
      </c>
      <c r="C99" s="492">
        <v>492624</v>
      </c>
      <c r="D99" s="501" t="s">
        <v>68</v>
      </c>
    </row>
    <row r="100" spans="1:4" x14ac:dyDescent="0.25">
      <c r="A100" s="496">
        <v>369</v>
      </c>
      <c r="B100" s="501" t="s">
        <v>191</v>
      </c>
      <c r="C100" s="492">
        <v>84929</v>
      </c>
      <c r="D100" s="501" t="s">
        <v>68</v>
      </c>
    </row>
    <row r="101" spans="1:4" x14ac:dyDescent="0.25">
      <c r="A101" s="496">
        <v>383</v>
      </c>
      <c r="B101" s="501" t="s">
        <v>192</v>
      </c>
      <c r="C101" s="492">
        <v>17943</v>
      </c>
      <c r="D101" s="501" t="s">
        <v>68</v>
      </c>
    </row>
    <row r="102" spans="1:4" x14ac:dyDescent="0.25">
      <c r="A102" s="496">
        <v>385</v>
      </c>
      <c r="B102" s="501" t="s">
        <v>193</v>
      </c>
      <c r="C102" s="492">
        <v>10876</v>
      </c>
      <c r="D102" s="501" t="s">
        <v>68</v>
      </c>
    </row>
    <row r="103" spans="1:4" x14ac:dyDescent="0.25">
      <c r="A103" s="496">
        <v>391</v>
      </c>
      <c r="B103" s="501" t="s">
        <v>194</v>
      </c>
      <c r="C103" s="492">
        <f>94070+35226</f>
        <v>129296</v>
      </c>
      <c r="D103" s="501" t="s">
        <v>68</v>
      </c>
    </row>
    <row r="104" spans="1:4" x14ac:dyDescent="0.25">
      <c r="A104" s="496">
        <v>393</v>
      </c>
      <c r="B104" s="501" t="s">
        <v>224</v>
      </c>
      <c r="C104" s="492">
        <f>194286</f>
        <v>194286</v>
      </c>
      <c r="D104" s="501" t="s">
        <v>68</v>
      </c>
    </row>
    <row r="105" spans="1:4" x14ac:dyDescent="0.25">
      <c r="A105" s="496">
        <v>395</v>
      </c>
      <c r="B105" s="501" t="s">
        <v>195</v>
      </c>
      <c r="C105" s="492">
        <v>9018</v>
      </c>
      <c r="D105" s="501" t="s">
        <v>68</v>
      </c>
    </row>
    <row r="106" spans="1:4" x14ac:dyDescent="0.25">
      <c r="A106" s="496">
        <v>396</v>
      </c>
      <c r="B106" s="501" t="s">
        <v>196</v>
      </c>
      <c r="C106" s="492">
        <v>76896</v>
      </c>
      <c r="D106" s="501" t="s">
        <v>68</v>
      </c>
    </row>
    <row r="107" spans="1:4" x14ac:dyDescent="0.25">
      <c r="A107" s="496">
        <v>397</v>
      </c>
      <c r="B107" s="501" t="s">
        <v>197</v>
      </c>
      <c r="C107" s="492">
        <v>47416</v>
      </c>
      <c r="D107" s="501" t="s">
        <v>68</v>
      </c>
    </row>
    <row r="108" spans="1:4" x14ac:dyDescent="0.25">
      <c r="A108" s="496">
        <v>398</v>
      </c>
      <c r="B108" s="501" t="s">
        <v>198</v>
      </c>
      <c r="C108" s="492">
        <v>328939</v>
      </c>
      <c r="D108" s="501" t="s">
        <v>68</v>
      </c>
    </row>
    <row r="109" spans="1:4" x14ac:dyDescent="0.25">
      <c r="A109" s="496">
        <v>513</v>
      </c>
      <c r="B109" s="501" t="s">
        <v>199</v>
      </c>
      <c r="C109" s="492">
        <v>68267</v>
      </c>
      <c r="D109" s="501" t="s">
        <v>68</v>
      </c>
    </row>
    <row r="110" spans="1:4" x14ac:dyDescent="0.25">
      <c r="A110" s="496">
        <v>514</v>
      </c>
      <c r="B110" s="501" t="s">
        <v>200</v>
      </c>
      <c r="C110" s="492">
        <v>174914</v>
      </c>
      <c r="D110" s="501" t="s">
        <v>68</v>
      </c>
    </row>
    <row r="111" spans="1:4" x14ac:dyDescent="0.25">
      <c r="A111" s="505"/>
      <c r="B111" s="506"/>
      <c r="C111" s="507"/>
      <c r="D111" s="501"/>
    </row>
    <row r="112" spans="1:4" x14ac:dyDescent="0.25">
      <c r="A112" s="505"/>
      <c r="B112" s="490" t="s">
        <v>94</v>
      </c>
      <c r="C112" s="487">
        <f>+C113</f>
        <v>11832460</v>
      </c>
      <c r="D112" s="501"/>
    </row>
    <row r="113" spans="1:5" x14ac:dyDescent="0.25">
      <c r="A113" s="505"/>
      <c r="B113" s="490" t="s">
        <v>125</v>
      </c>
      <c r="C113" s="487">
        <f>+C114</f>
        <v>11832460</v>
      </c>
      <c r="D113" s="501"/>
    </row>
    <row r="114" spans="1:5" x14ac:dyDescent="0.25">
      <c r="A114" s="496">
        <v>438</v>
      </c>
      <c r="B114" s="501" t="s">
        <v>225</v>
      </c>
      <c r="C114" s="492">
        <f>9832243+217+2000000</f>
        <v>11832460</v>
      </c>
      <c r="D114" s="501" t="s">
        <v>68</v>
      </c>
    </row>
    <row r="115" spans="1:5" x14ac:dyDescent="0.25">
      <c r="A115" s="489"/>
      <c r="B115" s="491"/>
      <c r="C115" s="492"/>
      <c r="D115" s="501"/>
    </row>
    <row r="116" spans="1:5" x14ac:dyDescent="0.25">
      <c r="A116" s="485" t="s">
        <v>95</v>
      </c>
      <c r="B116" s="486"/>
      <c r="C116" s="487">
        <f>+C134+C117</f>
        <v>26271169</v>
      </c>
      <c r="D116" s="501"/>
      <c r="E116" s="39"/>
    </row>
    <row r="117" spans="1:5" x14ac:dyDescent="0.25">
      <c r="A117" s="489"/>
      <c r="B117" s="490" t="s">
        <v>66</v>
      </c>
      <c r="C117" s="487">
        <f>SUM(C118:C132)</f>
        <v>12119198</v>
      </c>
      <c r="D117" s="501"/>
    </row>
    <row r="118" spans="1:5" x14ac:dyDescent="0.25">
      <c r="A118" s="489">
        <v>111</v>
      </c>
      <c r="B118" s="501" t="s">
        <v>90</v>
      </c>
      <c r="C118" s="492">
        <v>1876652</v>
      </c>
      <c r="D118" s="501" t="s">
        <v>68</v>
      </c>
    </row>
    <row r="119" spans="1:5" x14ac:dyDescent="0.25">
      <c r="A119" s="489">
        <v>113</v>
      </c>
      <c r="B119" s="501" t="s">
        <v>91</v>
      </c>
      <c r="C119" s="492">
        <v>130323</v>
      </c>
      <c r="D119" s="501" t="s">
        <v>68</v>
      </c>
    </row>
    <row r="120" spans="1:5" x14ac:dyDescent="0.25">
      <c r="A120" s="489">
        <v>114</v>
      </c>
      <c r="B120" s="501" t="s">
        <v>159</v>
      </c>
      <c r="C120" s="492">
        <v>300265</v>
      </c>
      <c r="D120" s="501" t="s">
        <v>68</v>
      </c>
    </row>
    <row r="121" spans="1:5" x14ac:dyDescent="0.25">
      <c r="A121" s="489">
        <v>211</v>
      </c>
      <c r="B121" s="501" t="s">
        <v>799</v>
      </c>
      <c r="C121" s="492">
        <v>181394</v>
      </c>
      <c r="D121" s="501" t="s">
        <v>68</v>
      </c>
    </row>
    <row r="122" spans="1:5" x14ac:dyDescent="0.25">
      <c r="A122" s="489">
        <v>212</v>
      </c>
      <c r="B122" s="501" t="s">
        <v>800</v>
      </c>
      <c r="C122" s="492">
        <v>64000</v>
      </c>
      <c r="D122" s="501" t="s">
        <v>68</v>
      </c>
    </row>
    <row r="123" spans="1:5" x14ac:dyDescent="0.25">
      <c r="A123" s="489">
        <v>213</v>
      </c>
      <c r="B123" s="501" t="s">
        <v>279</v>
      </c>
      <c r="C123" s="492">
        <v>208545</v>
      </c>
      <c r="D123" s="501" t="s">
        <v>68</v>
      </c>
    </row>
    <row r="124" spans="1:5" x14ac:dyDescent="0.25">
      <c r="A124" s="489">
        <v>215</v>
      </c>
      <c r="B124" s="501" t="s">
        <v>92</v>
      </c>
      <c r="C124" s="492">
        <v>203418</v>
      </c>
      <c r="D124" s="501" t="s">
        <v>68</v>
      </c>
    </row>
    <row r="125" spans="1:5" x14ac:dyDescent="0.25">
      <c r="A125" s="489">
        <v>216</v>
      </c>
      <c r="B125" s="501" t="s">
        <v>131</v>
      </c>
      <c r="C125" s="492">
        <f>1527252-823398+823398</f>
        <v>1527252</v>
      </c>
      <c r="D125" s="501" t="s">
        <v>68</v>
      </c>
    </row>
    <row r="126" spans="1:5" x14ac:dyDescent="0.25">
      <c r="A126" s="489">
        <v>221</v>
      </c>
      <c r="B126" s="501" t="s">
        <v>93</v>
      </c>
      <c r="C126" s="492">
        <f>508151+271141</f>
        <v>779292</v>
      </c>
      <c r="D126" s="501" t="s">
        <v>68</v>
      </c>
    </row>
    <row r="127" spans="1:5" x14ac:dyDescent="0.25">
      <c r="A127" s="489">
        <v>233</v>
      </c>
      <c r="B127" s="501" t="s">
        <v>133</v>
      </c>
      <c r="C127" s="492">
        <v>20000</v>
      </c>
      <c r="D127" s="501" t="s">
        <v>68</v>
      </c>
    </row>
    <row r="128" spans="1:5" x14ac:dyDescent="0.25">
      <c r="A128" s="489">
        <v>243</v>
      </c>
      <c r="B128" s="501" t="s">
        <v>97</v>
      </c>
      <c r="C128" s="492">
        <v>3000000</v>
      </c>
      <c r="D128" s="501" t="s">
        <v>98</v>
      </c>
    </row>
    <row r="129" spans="1:5" x14ac:dyDescent="0.25">
      <c r="A129" s="489">
        <v>243</v>
      </c>
      <c r="B129" s="501" t="s">
        <v>97</v>
      </c>
      <c r="C129" s="492">
        <v>752000</v>
      </c>
      <c r="D129" s="501" t="s">
        <v>68</v>
      </c>
    </row>
    <row r="130" spans="1:5" x14ac:dyDescent="0.25">
      <c r="A130" s="489">
        <v>244</v>
      </c>
      <c r="B130" s="501" t="s">
        <v>99</v>
      </c>
      <c r="C130" s="492">
        <v>900029</v>
      </c>
      <c r="D130" s="501" t="s">
        <v>68</v>
      </c>
    </row>
    <row r="131" spans="1:5" x14ac:dyDescent="0.25">
      <c r="A131" s="489">
        <v>252</v>
      </c>
      <c r="B131" s="501" t="s">
        <v>83</v>
      </c>
      <c r="C131" s="492">
        <f>1860000-1000000+1000000</f>
        <v>1860000</v>
      </c>
      <c r="D131" s="501" t="s">
        <v>68</v>
      </c>
    </row>
    <row r="132" spans="1:5" x14ac:dyDescent="0.25">
      <c r="A132" s="489">
        <v>353</v>
      </c>
      <c r="B132" s="501" t="s">
        <v>116</v>
      </c>
      <c r="C132" s="492">
        <v>316028</v>
      </c>
      <c r="D132" s="501" t="s">
        <v>68</v>
      </c>
    </row>
    <row r="133" spans="1:5" x14ac:dyDescent="0.25">
      <c r="A133" s="498"/>
      <c r="B133" s="508"/>
      <c r="C133" s="509"/>
      <c r="D133" s="510"/>
    </row>
    <row r="134" spans="1:5" x14ac:dyDescent="0.25">
      <c r="A134" s="498"/>
      <c r="B134" s="490" t="s">
        <v>94</v>
      </c>
      <c r="C134" s="487">
        <f>+SUM(C135)</f>
        <v>14151971</v>
      </c>
      <c r="D134" s="497"/>
    </row>
    <row r="135" spans="1:5" x14ac:dyDescent="0.25">
      <c r="A135" s="498"/>
      <c r="B135" s="490" t="s">
        <v>125</v>
      </c>
      <c r="C135" s="487">
        <f>+C136+C137+C138+C139</f>
        <v>14151971</v>
      </c>
      <c r="D135" s="511"/>
    </row>
    <row r="136" spans="1:5" x14ac:dyDescent="0.25">
      <c r="A136" s="489">
        <v>436</v>
      </c>
      <c r="B136" s="501" t="s">
        <v>646</v>
      </c>
      <c r="C136" s="492">
        <v>151971</v>
      </c>
      <c r="D136" s="501" t="s">
        <v>68</v>
      </c>
    </row>
    <row r="137" spans="1:5" x14ac:dyDescent="0.25">
      <c r="A137" s="489">
        <v>437</v>
      </c>
      <c r="B137" s="501" t="s">
        <v>100</v>
      </c>
      <c r="C137" s="492">
        <v>8000000</v>
      </c>
      <c r="D137" s="501" t="s">
        <v>101</v>
      </c>
    </row>
    <row r="138" spans="1:5" x14ac:dyDescent="0.25">
      <c r="A138" s="489">
        <v>437</v>
      </c>
      <c r="B138" s="501" t="s">
        <v>100</v>
      </c>
      <c r="C138" s="492">
        <v>6000000</v>
      </c>
      <c r="D138" s="501" t="s">
        <v>98</v>
      </c>
    </row>
    <row r="139" spans="1:5" x14ac:dyDescent="0.25">
      <c r="A139" s="481"/>
      <c r="B139" s="482"/>
      <c r="C139" s="483"/>
      <c r="D139" s="497"/>
    </row>
    <row r="140" spans="1:5" x14ac:dyDescent="0.25">
      <c r="A140" s="485" t="s">
        <v>809</v>
      </c>
      <c r="B140" s="482"/>
      <c r="C140" s="487">
        <f>+C141+C147</f>
        <v>6311183</v>
      </c>
      <c r="D140" s="497"/>
      <c r="E140" s="39"/>
    </row>
    <row r="141" spans="1:5" x14ac:dyDescent="0.25">
      <c r="A141" s="498"/>
      <c r="B141" s="490" t="s">
        <v>66</v>
      </c>
      <c r="C141" s="487">
        <f>SUM(C142:C145)</f>
        <v>4128469</v>
      </c>
      <c r="D141" s="510"/>
    </row>
    <row r="142" spans="1:5" x14ac:dyDescent="0.25">
      <c r="A142" s="489">
        <v>249</v>
      </c>
      <c r="B142" s="501" t="s">
        <v>82</v>
      </c>
      <c r="C142" s="492">
        <v>2699421</v>
      </c>
      <c r="D142" s="501" t="s">
        <v>101</v>
      </c>
    </row>
    <row r="143" spans="1:5" x14ac:dyDescent="0.25">
      <c r="A143" s="489">
        <v>367</v>
      </c>
      <c r="B143" s="501" t="s">
        <v>163</v>
      </c>
      <c r="C143" s="492">
        <v>370038</v>
      </c>
      <c r="D143" s="501" t="s">
        <v>68</v>
      </c>
    </row>
    <row r="144" spans="1:5" x14ac:dyDescent="0.25">
      <c r="A144" s="489">
        <v>369</v>
      </c>
      <c r="B144" s="501" t="s">
        <v>137</v>
      </c>
      <c r="C144" s="492">
        <v>781129</v>
      </c>
      <c r="D144" s="501" t="s">
        <v>68</v>
      </c>
    </row>
    <row r="145" spans="1:5" x14ac:dyDescent="0.25">
      <c r="A145" s="489">
        <v>399</v>
      </c>
      <c r="B145" s="501" t="s">
        <v>71</v>
      </c>
      <c r="C145" s="492">
        <v>277881</v>
      </c>
      <c r="D145" s="501" t="s">
        <v>101</v>
      </c>
    </row>
    <row r="146" spans="1:5" x14ac:dyDescent="0.25">
      <c r="A146" s="498"/>
      <c r="B146" s="508"/>
      <c r="C146" s="509"/>
      <c r="D146" s="510"/>
    </row>
    <row r="147" spans="1:5" x14ac:dyDescent="0.25">
      <c r="A147" s="498"/>
      <c r="B147" s="490" t="s">
        <v>94</v>
      </c>
      <c r="C147" s="487">
        <f>+C148</f>
        <v>2182714</v>
      </c>
      <c r="D147" s="510"/>
    </row>
    <row r="148" spans="1:5" x14ac:dyDescent="0.25">
      <c r="A148" s="498"/>
      <c r="B148" s="490" t="s">
        <v>73</v>
      </c>
      <c r="C148" s="487">
        <f>+C149</f>
        <v>2182714</v>
      </c>
      <c r="D148" s="510"/>
    </row>
    <row r="149" spans="1:5" ht="26.25" x14ac:dyDescent="0.25">
      <c r="A149" s="489"/>
      <c r="B149" s="501" t="s">
        <v>138</v>
      </c>
      <c r="C149" s="492">
        <v>2182714</v>
      </c>
      <c r="D149" s="501" t="s">
        <v>136</v>
      </c>
    </row>
    <row r="150" spans="1:5" x14ac:dyDescent="0.25">
      <c r="A150" s="481"/>
      <c r="B150" s="482"/>
      <c r="C150" s="483"/>
      <c r="D150" s="501"/>
    </row>
    <row r="151" spans="1:5" x14ac:dyDescent="0.25">
      <c r="A151" s="485" t="s">
        <v>141</v>
      </c>
      <c r="B151" s="482"/>
      <c r="C151" s="487">
        <f>+C152+C156</f>
        <v>107922000</v>
      </c>
      <c r="D151" s="501"/>
      <c r="E151" s="39"/>
    </row>
    <row r="152" spans="1:5" x14ac:dyDescent="0.25">
      <c r="A152" s="498"/>
      <c r="B152" s="490" t="s">
        <v>66</v>
      </c>
      <c r="C152" s="487">
        <f>SUM(C153:C154)</f>
        <v>36334000</v>
      </c>
      <c r="D152" s="501"/>
    </row>
    <row r="153" spans="1:5" x14ac:dyDescent="0.25">
      <c r="A153" s="489">
        <v>249</v>
      </c>
      <c r="B153" s="501" t="s">
        <v>142</v>
      </c>
      <c r="C153" s="492">
        <v>3497763</v>
      </c>
      <c r="D153" s="501" t="s">
        <v>101</v>
      </c>
    </row>
    <row r="154" spans="1:5" x14ac:dyDescent="0.25">
      <c r="A154" s="489">
        <v>252</v>
      </c>
      <c r="B154" s="501" t="s">
        <v>83</v>
      </c>
      <c r="C154" s="492">
        <f>52836237-20000000</f>
        <v>32836237</v>
      </c>
      <c r="D154" s="501" t="s">
        <v>101</v>
      </c>
    </row>
    <row r="155" spans="1:5" x14ac:dyDescent="0.25">
      <c r="A155" s="512"/>
      <c r="B155" s="513"/>
      <c r="C155" s="409"/>
      <c r="D155" s="501"/>
    </row>
    <row r="156" spans="1:5" x14ac:dyDescent="0.25">
      <c r="A156" s="512"/>
      <c r="B156" s="490" t="s">
        <v>94</v>
      </c>
      <c r="C156" s="487">
        <f>+C157</f>
        <v>71588000</v>
      </c>
      <c r="D156" s="501"/>
    </row>
    <row r="157" spans="1:5" x14ac:dyDescent="0.25">
      <c r="A157" s="512"/>
      <c r="B157" s="490" t="s">
        <v>73</v>
      </c>
      <c r="C157" s="487">
        <f>SUM(C158:C160)</f>
        <v>71588000</v>
      </c>
      <c r="D157" s="501"/>
      <c r="E157" s="39"/>
    </row>
    <row r="158" spans="1:5" ht="26.25" x14ac:dyDescent="0.25">
      <c r="A158" s="512"/>
      <c r="B158" s="501" t="s">
        <v>801</v>
      </c>
      <c r="C158" s="492">
        <v>31725000</v>
      </c>
      <c r="D158" s="501" t="s">
        <v>101</v>
      </c>
      <c r="E158" s="39"/>
    </row>
    <row r="159" spans="1:5" ht="26.25" x14ac:dyDescent="0.25">
      <c r="A159" s="512"/>
      <c r="B159" s="501" t="s">
        <v>802</v>
      </c>
      <c r="C159" s="492">
        <v>26690535</v>
      </c>
      <c r="D159" s="501" t="s">
        <v>101</v>
      </c>
    </row>
    <row r="160" spans="1:5" ht="26.25" x14ac:dyDescent="0.25">
      <c r="A160" s="512"/>
      <c r="B160" s="501" t="s">
        <v>803</v>
      </c>
      <c r="C160" s="492">
        <v>13172465</v>
      </c>
      <c r="D160" s="501" t="s">
        <v>101</v>
      </c>
    </row>
    <row r="161" spans="1:4" x14ac:dyDescent="0.25">
      <c r="A161" s="481"/>
      <c r="B161" s="482"/>
      <c r="C161" s="483"/>
      <c r="D161" s="501"/>
    </row>
    <row r="162" spans="1:4" x14ac:dyDescent="0.25">
      <c r="A162" s="485" t="s">
        <v>950</v>
      </c>
      <c r="B162" s="482"/>
      <c r="C162" s="514">
        <f>+C163+C272</f>
        <v>136904310</v>
      </c>
      <c r="D162" s="501"/>
    </row>
    <row r="163" spans="1:4" x14ac:dyDescent="0.25">
      <c r="A163" s="498"/>
      <c r="B163" s="490" t="s">
        <v>66</v>
      </c>
      <c r="C163" s="514">
        <f>SUM(C164:C270)</f>
        <v>112766104</v>
      </c>
      <c r="D163" s="501"/>
    </row>
    <row r="164" spans="1:4" ht="26.25" x14ac:dyDescent="0.25">
      <c r="A164" s="489">
        <v>111</v>
      </c>
      <c r="B164" s="501" t="s">
        <v>90</v>
      </c>
      <c r="C164" s="337">
        <v>5920787</v>
      </c>
      <c r="D164" s="501" t="s">
        <v>112</v>
      </c>
    </row>
    <row r="165" spans="1:4" ht="26.25" x14ac:dyDescent="0.25">
      <c r="A165" s="489">
        <v>113</v>
      </c>
      <c r="B165" s="501" t="s">
        <v>202</v>
      </c>
      <c r="C165" s="337">
        <v>4125178</v>
      </c>
      <c r="D165" s="501" t="s">
        <v>112</v>
      </c>
    </row>
    <row r="166" spans="1:4" ht="26.25" x14ac:dyDescent="0.25">
      <c r="A166" s="489">
        <v>114</v>
      </c>
      <c r="B166" s="501" t="s">
        <v>159</v>
      </c>
      <c r="C166" s="337">
        <v>1989353</v>
      </c>
      <c r="D166" s="501" t="s">
        <v>112</v>
      </c>
    </row>
    <row r="167" spans="1:4" ht="26.25" x14ac:dyDescent="0.25">
      <c r="A167" s="489">
        <v>116</v>
      </c>
      <c r="B167" s="501" t="s">
        <v>203</v>
      </c>
      <c r="C167" s="337">
        <v>1126890</v>
      </c>
      <c r="D167" s="501" t="s">
        <v>112</v>
      </c>
    </row>
    <row r="168" spans="1:4" ht="26.25" x14ac:dyDescent="0.25">
      <c r="A168" s="489">
        <v>131</v>
      </c>
      <c r="B168" s="501" t="s">
        <v>135</v>
      </c>
      <c r="C168" s="337">
        <v>4025705</v>
      </c>
      <c r="D168" s="501" t="s">
        <v>112</v>
      </c>
    </row>
    <row r="169" spans="1:4" ht="26.25" x14ac:dyDescent="0.25">
      <c r="A169" s="489">
        <v>131</v>
      </c>
      <c r="B169" s="501" t="s">
        <v>135</v>
      </c>
      <c r="C169" s="337">
        <v>3399432</v>
      </c>
      <c r="D169" s="501" t="s">
        <v>273</v>
      </c>
    </row>
    <row r="170" spans="1:4" ht="26.25" x14ac:dyDescent="0.25">
      <c r="A170" s="489">
        <v>136</v>
      </c>
      <c r="B170" s="501" t="s">
        <v>274</v>
      </c>
      <c r="C170" s="337">
        <v>1313076</v>
      </c>
      <c r="D170" s="501" t="s">
        <v>112</v>
      </c>
    </row>
    <row r="171" spans="1:4" ht="26.25" x14ac:dyDescent="0.25">
      <c r="A171" s="489">
        <v>136</v>
      </c>
      <c r="B171" s="501" t="s">
        <v>274</v>
      </c>
      <c r="C171" s="337">
        <v>283287</v>
      </c>
      <c r="D171" s="501" t="s">
        <v>273</v>
      </c>
    </row>
    <row r="172" spans="1:4" ht="26.25" x14ac:dyDescent="0.25">
      <c r="A172" s="489">
        <v>137</v>
      </c>
      <c r="B172" s="501" t="s">
        <v>275</v>
      </c>
      <c r="C172" s="337">
        <v>680595</v>
      </c>
      <c r="D172" s="501" t="s">
        <v>112</v>
      </c>
    </row>
    <row r="173" spans="1:4" ht="26.25" x14ac:dyDescent="0.25">
      <c r="A173" s="489">
        <v>137</v>
      </c>
      <c r="B173" s="501" t="s">
        <v>275</v>
      </c>
      <c r="C173" s="337">
        <v>543909</v>
      </c>
      <c r="D173" s="501" t="s">
        <v>273</v>
      </c>
    </row>
    <row r="174" spans="1:4" ht="26.25" x14ac:dyDescent="0.25">
      <c r="A174" s="489">
        <v>141</v>
      </c>
      <c r="B174" s="501" t="s">
        <v>276</v>
      </c>
      <c r="C174" s="337">
        <v>1425684</v>
      </c>
      <c r="D174" s="501" t="s">
        <v>112</v>
      </c>
    </row>
    <row r="175" spans="1:4" ht="26.25" x14ac:dyDescent="0.25">
      <c r="A175" s="489">
        <v>143</v>
      </c>
      <c r="B175" s="501" t="s">
        <v>277</v>
      </c>
      <c r="C175" s="337">
        <v>261967</v>
      </c>
      <c r="D175" s="501" t="s">
        <v>112</v>
      </c>
    </row>
    <row r="176" spans="1:4" ht="26.25" x14ac:dyDescent="0.25">
      <c r="A176" s="489">
        <v>151</v>
      </c>
      <c r="B176" s="501" t="s">
        <v>205</v>
      </c>
      <c r="C176" s="337">
        <v>1274122</v>
      </c>
      <c r="D176" s="501" t="s">
        <v>112</v>
      </c>
    </row>
    <row r="177" spans="1:4" ht="26.25" x14ac:dyDescent="0.25">
      <c r="A177" s="489">
        <v>151</v>
      </c>
      <c r="B177" s="501" t="s">
        <v>205</v>
      </c>
      <c r="C177" s="337">
        <v>182350</v>
      </c>
      <c r="D177" s="501" t="s">
        <v>273</v>
      </c>
    </row>
    <row r="178" spans="1:4" ht="26.25" x14ac:dyDescent="0.25">
      <c r="A178" s="489">
        <v>161</v>
      </c>
      <c r="B178" s="501" t="s">
        <v>206</v>
      </c>
      <c r="C178" s="337">
        <v>197356</v>
      </c>
      <c r="D178" s="501" t="s">
        <v>112</v>
      </c>
    </row>
    <row r="179" spans="1:4" ht="26.25" x14ac:dyDescent="0.25">
      <c r="A179" s="489">
        <v>169</v>
      </c>
      <c r="B179" s="501" t="s">
        <v>278</v>
      </c>
      <c r="C179" s="337">
        <v>297085</v>
      </c>
      <c r="D179" s="501" t="s">
        <v>112</v>
      </c>
    </row>
    <row r="180" spans="1:4" ht="26.25" x14ac:dyDescent="0.25">
      <c r="A180" s="489">
        <v>169</v>
      </c>
      <c r="B180" s="501" t="s">
        <v>278</v>
      </c>
      <c r="C180" s="337">
        <v>283287</v>
      </c>
      <c r="D180" s="501" t="s">
        <v>273</v>
      </c>
    </row>
    <row r="181" spans="1:4" ht="26.25" x14ac:dyDescent="0.25">
      <c r="A181" s="489">
        <v>193</v>
      </c>
      <c r="B181" s="501" t="s">
        <v>207</v>
      </c>
      <c r="C181" s="337">
        <v>118068</v>
      </c>
      <c r="D181" s="501" t="s">
        <v>112</v>
      </c>
    </row>
    <row r="182" spans="1:4" ht="26.25" x14ac:dyDescent="0.25">
      <c r="A182" s="489">
        <v>193</v>
      </c>
      <c r="B182" s="501" t="s">
        <v>207</v>
      </c>
      <c r="C182" s="337">
        <v>67990</v>
      </c>
      <c r="D182" s="501" t="s">
        <v>273</v>
      </c>
    </row>
    <row r="183" spans="1:4" ht="26.25" x14ac:dyDescent="0.25">
      <c r="A183" s="489">
        <v>211</v>
      </c>
      <c r="B183" s="501" t="s">
        <v>219</v>
      </c>
      <c r="C183" s="337">
        <v>587507</v>
      </c>
      <c r="D183" s="501" t="s">
        <v>112</v>
      </c>
    </row>
    <row r="184" spans="1:4" ht="26.25" x14ac:dyDescent="0.25">
      <c r="A184" s="489">
        <v>213</v>
      </c>
      <c r="B184" s="501" t="s">
        <v>279</v>
      </c>
      <c r="C184" s="337">
        <v>50000</v>
      </c>
      <c r="D184" s="501" t="s">
        <v>112</v>
      </c>
    </row>
    <row r="185" spans="1:4" ht="26.25" x14ac:dyDescent="0.25">
      <c r="A185" s="489">
        <v>215</v>
      </c>
      <c r="B185" s="501" t="s">
        <v>92</v>
      </c>
      <c r="C185" s="337">
        <v>170368</v>
      </c>
      <c r="D185" s="501" t="s">
        <v>112</v>
      </c>
    </row>
    <row r="186" spans="1:4" ht="26.25" x14ac:dyDescent="0.25">
      <c r="A186" s="489">
        <v>216</v>
      </c>
      <c r="B186" s="501" t="s">
        <v>96</v>
      </c>
      <c r="C186" s="337">
        <v>932101</v>
      </c>
      <c r="D186" s="501" t="s">
        <v>112</v>
      </c>
    </row>
    <row r="187" spans="1:4" ht="26.25" x14ac:dyDescent="0.25">
      <c r="A187" s="489">
        <v>219</v>
      </c>
      <c r="B187" s="501" t="s">
        <v>280</v>
      </c>
      <c r="C187" s="337">
        <v>529600</v>
      </c>
      <c r="D187" s="501" t="s">
        <v>112</v>
      </c>
    </row>
    <row r="188" spans="1:4" ht="26.25" x14ac:dyDescent="0.25">
      <c r="A188" s="489">
        <v>221</v>
      </c>
      <c r="B188" s="501" t="s">
        <v>93</v>
      </c>
      <c r="C188" s="337">
        <v>1410225</v>
      </c>
      <c r="D188" s="501" t="s">
        <v>112</v>
      </c>
    </row>
    <row r="189" spans="1:4" ht="26.25" x14ac:dyDescent="0.25">
      <c r="A189" s="489">
        <v>223</v>
      </c>
      <c r="B189" s="501" t="s">
        <v>281</v>
      </c>
      <c r="C189" s="337">
        <v>38456</v>
      </c>
      <c r="D189" s="501" t="s">
        <v>112</v>
      </c>
    </row>
    <row r="190" spans="1:4" ht="26.25" x14ac:dyDescent="0.25">
      <c r="A190" s="489">
        <v>231</v>
      </c>
      <c r="B190" s="501" t="s">
        <v>123</v>
      </c>
      <c r="C190" s="337">
        <v>206384</v>
      </c>
      <c r="D190" s="501" t="s">
        <v>112</v>
      </c>
    </row>
    <row r="191" spans="1:4" ht="26.25" x14ac:dyDescent="0.25">
      <c r="A191" s="489">
        <v>232</v>
      </c>
      <c r="B191" s="501" t="s">
        <v>132</v>
      </c>
      <c r="C191" s="337">
        <v>814364</v>
      </c>
      <c r="D191" s="501" t="s">
        <v>112</v>
      </c>
    </row>
    <row r="192" spans="1:4" ht="26.25" x14ac:dyDescent="0.25">
      <c r="A192" s="489">
        <v>232</v>
      </c>
      <c r="B192" s="501" t="s">
        <v>132</v>
      </c>
      <c r="C192" s="337">
        <v>2721968</v>
      </c>
      <c r="D192" s="501" t="s">
        <v>273</v>
      </c>
    </row>
    <row r="193" spans="1:4" ht="26.25" x14ac:dyDescent="0.25">
      <c r="A193" s="489">
        <v>233</v>
      </c>
      <c r="B193" s="501" t="s">
        <v>133</v>
      </c>
      <c r="C193" s="337">
        <v>680500</v>
      </c>
      <c r="D193" s="501" t="s">
        <v>112</v>
      </c>
    </row>
    <row r="194" spans="1:4" ht="26.25" x14ac:dyDescent="0.25">
      <c r="A194" s="489">
        <v>233</v>
      </c>
      <c r="B194" s="501" t="s">
        <v>133</v>
      </c>
      <c r="C194" s="337">
        <v>252088</v>
      </c>
      <c r="D194" s="501" t="s">
        <v>273</v>
      </c>
    </row>
    <row r="195" spans="1:4" ht="26.25" x14ac:dyDescent="0.25">
      <c r="A195" s="489">
        <v>238</v>
      </c>
      <c r="B195" s="501" t="s">
        <v>282</v>
      </c>
      <c r="C195" s="337">
        <v>100500</v>
      </c>
      <c r="D195" s="501" t="s">
        <v>112</v>
      </c>
    </row>
    <row r="196" spans="1:4" ht="26.25" x14ac:dyDescent="0.25">
      <c r="A196" s="489">
        <v>239</v>
      </c>
      <c r="B196" s="501" t="s">
        <v>343</v>
      </c>
      <c r="C196" s="337">
        <v>110000</v>
      </c>
      <c r="D196" s="501" t="s">
        <v>112</v>
      </c>
    </row>
    <row r="197" spans="1:4" x14ac:dyDescent="0.25">
      <c r="A197" s="489">
        <v>243</v>
      </c>
      <c r="B197" s="501" t="s">
        <v>70</v>
      </c>
      <c r="C197" s="337">
        <v>2900000</v>
      </c>
      <c r="D197" s="501" t="s">
        <v>126</v>
      </c>
    </row>
    <row r="198" spans="1:4" ht="26.25" x14ac:dyDescent="0.25">
      <c r="A198" s="489">
        <v>244</v>
      </c>
      <c r="B198" s="501" t="s">
        <v>99</v>
      </c>
      <c r="C198" s="337">
        <v>207000</v>
      </c>
      <c r="D198" s="501" t="s">
        <v>112</v>
      </c>
    </row>
    <row r="199" spans="1:4" ht="26.25" x14ac:dyDescent="0.25">
      <c r="A199" s="489">
        <v>244</v>
      </c>
      <c r="B199" s="501" t="s">
        <v>99</v>
      </c>
      <c r="C199" s="337">
        <f>3742281+1125348+103769+342908</f>
        <v>5314306</v>
      </c>
      <c r="D199" s="501" t="s">
        <v>273</v>
      </c>
    </row>
    <row r="200" spans="1:4" ht="26.25" x14ac:dyDescent="0.25">
      <c r="A200" s="489">
        <v>245</v>
      </c>
      <c r="B200" s="501" t="s">
        <v>119</v>
      </c>
      <c r="C200" s="337">
        <v>63938</v>
      </c>
      <c r="D200" s="501" t="s">
        <v>112</v>
      </c>
    </row>
    <row r="201" spans="1:4" ht="26.25" x14ac:dyDescent="0.25">
      <c r="A201" s="489">
        <v>249</v>
      </c>
      <c r="B201" s="501" t="s">
        <v>283</v>
      </c>
      <c r="C201" s="337">
        <v>1005722</v>
      </c>
      <c r="D201" s="501" t="s">
        <v>273</v>
      </c>
    </row>
    <row r="202" spans="1:4" ht="26.25" x14ac:dyDescent="0.25">
      <c r="A202" s="489">
        <v>251</v>
      </c>
      <c r="B202" s="501" t="s">
        <v>804</v>
      </c>
      <c r="C202" s="337">
        <v>26527</v>
      </c>
      <c r="D202" s="501" t="s">
        <v>112</v>
      </c>
    </row>
    <row r="203" spans="1:4" ht="26.25" x14ac:dyDescent="0.25">
      <c r="A203" s="489">
        <v>251</v>
      </c>
      <c r="B203" s="501" t="s">
        <v>804</v>
      </c>
      <c r="C203" s="337">
        <v>360556</v>
      </c>
      <c r="D203" s="501" t="s">
        <v>273</v>
      </c>
    </row>
    <row r="204" spans="1:4" ht="26.25" x14ac:dyDescent="0.25">
      <c r="A204" s="489">
        <v>252</v>
      </c>
      <c r="B204" s="501" t="s">
        <v>83</v>
      </c>
      <c r="C204" s="337">
        <v>496040</v>
      </c>
      <c r="D204" s="501" t="s">
        <v>112</v>
      </c>
    </row>
    <row r="205" spans="1:4" ht="26.25" x14ac:dyDescent="0.25">
      <c r="A205" s="489">
        <v>252</v>
      </c>
      <c r="B205" s="501" t="s">
        <v>83</v>
      </c>
      <c r="C205" s="337">
        <v>2016707</v>
      </c>
      <c r="D205" s="501" t="s">
        <v>273</v>
      </c>
    </row>
    <row r="206" spans="1:4" ht="26.25" x14ac:dyDescent="0.25">
      <c r="A206" s="489">
        <v>253</v>
      </c>
      <c r="B206" s="501" t="s">
        <v>284</v>
      </c>
      <c r="C206" s="337">
        <v>948934</v>
      </c>
      <c r="D206" s="501" t="s">
        <v>112</v>
      </c>
    </row>
    <row r="207" spans="1:4" ht="26.25" x14ac:dyDescent="0.25">
      <c r="A207" s="489">
        <v>253</v>
      </c>
      <c r="B207" s="501" t="s">
        <v>284</v>
      </c>
      <c r="C207" s="337">
        <v>86153</v>
      </c>
      <c r="D207" s="501" t="s">
        <v>273</v>
      </c>
    </row>
    <row r="208" spans="1:4" ht="26.25" x14ac:dyDescent="0.25">
      <c r="A208" s="489">
        <v>255</v>
      </c>
      <c r="B208" s="501" t="s">
        <v>285</v>
      </c>
      <c r="C208" s="337">
        <v>18519</v>
      </c>
      <c r="D208" s="501" t="s">
        <v>112</v>
      </c>
    </row>
    <row r="209" spans="1:4" ht="26.25" x14ac:dyDescent="0.25">
      <c r="A209" s="489">
        <v>255</v>
      </c>
      <c r="B209" s="501" t="s">
        <v>285</v>
      </c>
      <c r="C209" s="337">
        <v>44463</v>
      </c>
      <c r="D209" s="501" t="s">
        <v>273</v>
      </c>
    </row>
    <row r="210" spans="1:4" ht="26.25" x14ac:dyDescent="0.25">
      <c r="A210" s="489">
        <v>261</v>
      </c>
      <c r="B210" s="501" t="s">
        <v>124</v>
      </c>
      <c r="C210" s="337">
        <v>47300</v>
      </c>
      <c r="D210" s="501" t="s">
        <v>112</v>
      </c>
    </row>
    <row r="211" spans="1:4" ht="26.25" x14ac:dyDescent="0.25">
      <c r="A211" s="489">
        <v>261</v>
      </c>
      <c r="B211" s="501" t="s">
        <v>124</v>
      </c>
      <c r="C211" s="337">
        <v>1447391</v>
      </c>
      <c r="D211" s="501" t="s">
        <v>273</v>
      </c>
    </row>
    <row r="212" spans="1:4" ht="26.25" x14ac:dyDescent="0.25">
      <c r="A212" s="489">
        <v>271</v>
      </c>
      <c r="B212" s="501" t="s">
        <v>244</v>
      </c>
      <c r="C212" s="337">
        <v>651090</v>
      </c>
      <c r="D212" s="501" t="s">
        <v>112</v>
      </c>
    </row>
    <row r="213" spans="1:4" ht="26.25" x14ac:dyDescent="0.25">
      <c r="A213" s="489">
        <v>271</v>
      </c>
      <c r="B213" s="501" t="s">
        <v>244</v>
      </c>
      <c r="C213" s="337">
        <v>140168</v>
      </c>
      <c r="D213" s="501" t="s">
        <v>273</v>
      </c>
    </row>
    <row r="214" spans="1:4" ht="26.25" x14ac:dyDescent="0.25">
      <c r="A214" s="489">
        <v>273</v>
      </c>
      <c r="B214" s="501" t="s">
        <v>114</v>
      </c>
      <c r="C214" s="337">
        <v>705616</v>
      </c>
      <c r="D214" s="501" t="s">
        <v>112</v>
      </c>
    </row>
    <row r="215" spans="1:4" ht="26.25" x14ac:dyDescent="0.25">
      <c r="A215" s="489">
        <v>291</v>
      </c>
      <c r="B215" s="501" t="s">
        <v>286</v>
      </c>
      <c r="C215" s="337">
        <v>144310</v>
      </c>
      <c r="D215" s="501" t="s">
        <v>112</v>
      </c>
    </row>
    <row r="216" spans="1:4" x14ac:dyDescent="0.25">
      <c r="A216" s="489">
        <v>291</v>
      </c>
      <c r="B216" s="501" t="s">
        <v>286</v>
      </c>
      <c r="C216" s="337">
        <v>1100000</v>
      </c>
      <c r="D216" s="501" t="s">
        <v>126</v>
      </c>
    </row>
    <row r="217" spans="1:4" ht="26.25" x14ac:dyDescent="0.25">
      <c r="A217" s="489">
        <v>311</v>
      </c>
      <c r="B217" s="501" t="s">
        <v>161</v>
      </c>
      <c r="C217" s="337">
        <v>146730</v>
      </c>
      <c r="D217" s="501" t="s">
        <v>112</v>
      </c>
    </row>
    <row r="218" spans="1:4" ht="26.25" x14ac:dyDescent="0.25">
      <c r="A218" s="489">
        <v>312</v>
      </c>
      <c r="B218" s="501" t="s">
        <v>287</v>
      </c>
      <c r="C218" s="337">
        <v>222677</v>
      </c>
      <c r="D218" s="501" t="s">
        <v>112</v>
      </c>
    </row>
    <row r="219" spans="1:4" ht="26.25" x14ac:dyDescent="0.25">
      <c r="A219" s="489">
        <v>314</v>
      </c>
      <c r="B219" s="501" t="s">
        <v>288</v>
      </c>
      <c r="C219" s="337">
        <v>98952</v>
      </c>
      <c r="D219" s="501" t="s">
        <v>112</v>
      </c>
    </row>
    <row r="220" spans="1:4" ht="26.25" x14ac:dyDescent="0.25">
      <c r="A220" s="489">
        <v>317</v>
      </c>
      <c r="B220" s="501" t="s">
        <v>289</v>
      </c>
      <c r="C220" s="337">
        <v>50800</v>
      </c>
      <c r="D220" s="501" t="s">
        <v>112</v>
      </c>
    </row>
    <row r="221" spans="1:4" ht="26.25" x14ac:dyDescent="0.25">
      <c r="A221" s="489">
        <v>331</v>
      </c>
      <c r="B221" s="501" t="s">
        <v>290</v>
      </c>
      <c r="C221" s="337">
        <v>49984</v>
      </c>
      <c r="D221" s="501" t="s">
        <v>112</v>
      </c>
    </row>
    <row r="222" spans="1:4" ht="26.25" x14ac:dyDescent="0.25">
      <c r="A222" s="489">
        <v>332</v>
      </c>
      <c r="B222" s="501" t="s">
        <v>154</v>
      </c>
      <c r="C222" s="337">
        <v>45600</v>
      </c>
      <c r="D222" s="501" t="s">
        <v>112</v>
      </c>
    </row>
    <row r="223" spans="1:4" ht="26.25" x14ac:dyDescent="0.25">
      <c r="A223" s="489">
        <v>332</v>
      </c>
      <c r="B223" s="501" t="s">
        <v>154</v>
      </c>
      <c r="C223" s="337">
        <v>109180</v>
      </c>
      <c r="D223" s="501" t="s">
        <v>273</v>
      </c>
    </row>
    <row r="224" spans="1:4" ht="26.25" x14ac:dyDescent="0.25">
      <c r="A224" s="489">
        <v>333</v>
      </c>
      <c r="B224" s="501" t="s">
        <v>146</v>
      </c>
      <c r="C224" s="337">
        <v>695795</v>
      </c>
      <c r="D224" s="501" t="s">
        <v>112</v>
      </c>
    </row>
    <row r="225" spans="1:4" ht="26.25" x14ac:dyDescent="0.25">
      <c r="A225" s="489">
        <v>333</v>
      </c>
      <c r="B225" s="501" t="s">
        <v>146</v>
      </c>
      <c r="C225" s="337">
        <v>606299</v>
      </c>
      <c r="D225" s="501" t="s">
        <v>273</v>
      </c>
    </row>
    <row r="226" spans="1:4" ht="26.25" x14ac:dyDescent="0.25">
      <c r="A226" s="489">
        <v>341</v>
      </c>
      <c r="B226" s="501" t="s">
        <v>147</v>
      </c>
      <c r="C226" s="337">
        <v>354304</v>
      </c>
      <c r="D226" s="501" t="s">
        <v>112</v>
      </c>
    </row>
    <row r="227" spans="1:4" ht="26.25" x14ac:dyDescent="0.25">
      <c r="A227" s="489">
        <v>341</v>
      </c>
      <c r="B227" s="501" t="s">
        <v>147</v>
      </c>
      <c r="C227" s="337">
        <v>105328</v>
      </c>
      <c r="D227" s="501" t="s">
        <v>273</v>
      </c>
    </row>
    <row r="228" spans="1:4" ht="26.25" x14ac:dyDescent="0.25">
      <c r="A228" s="489">
        <v>342</v>
      </c>
      <c r="B228" s="501" t="s">
        <v>227</v>
      </c>
      <c r="C228" s="337">
        <v>234547</v>
      </c>
      <c r="D228" s="501" t="s">
        <v>112</v>
      </c>
    </row>
    <row r="229" spans="1:4" ht="26.25" x14ac:dyDescent="0.25">
      <c r="A229" s="489">
        <v>342</v>
      </c>
      <c r="B229" s="501" t="s">
        <v>227</v>
      </c>
      <c r="C229" s="337">
        <v>21928</v>
      </c>
      <c r="D229" s="501" t="s">
        <v>273</v>
      </c>
    </row>
    <row r="230" spans="1:4" ht="26.25" x14ac:dyDescent="0.25">
      <c r="A230" s="489">
        <v>343</v>
      </c>
      <c r="B230" s="501" t="s">
        <v>291</v>
      </c>
      <c r="C230" s="337">
        <v>428120</v>
      </c>
      <c r="D230" s="501" t="s">
        <v>112</v>
      </c>
    </row>
    <row r="231" spans="1:4" ht="26.25" x14ac:dyDescent="0.25">
      <c r="A231" s="489">
        <v>343</v>
      </c>
      <c r="B231" s="501" t="s">
        <v>291</v>
      </c>
      <c r="C231" s="337">
        <v>215887</v>
      </c>
      <c r="D231" s="501" t="s">
        <v>273</v>
      </c>
    </row>
    <row r="232" spans="1:4" ht="26.25" x14ac:dyDescent="0.25">
      <c r="A232" s="489">
        <v>346</v>
      </c>
      <c r="B232" s="501" t="s">
        <v>162</v>
      </c>
      <c r="C232" s="337">
        <v>42000</v>
      </c>
      <c r="D232" s="501" t="s">
        <v>112</v>
      </c>
    </row>
    <row r="233" spans="1:4" ht="26.25" x14ac:dyDescent="0.25">
      <c r="A233" s="489">
        <v>352</v>
      </c>
      <c r="B233" s="501" t="s">
        <v>292</v>
      </c>
      <c r="C233" s="337">
        <v>455498</v>
      </c>
      <c r="D233" s="501" t="s">
        <v>112</v>
      </c>
    </row>
    <row r="234" spans="1:4" ht="26.25" x14ac:dyDescent="0.25">
      <c r="A234" s="489">
        <v>352</v>
      </c>
      <c r="B234" s="501" t="s">
        <v>292</v>
      </c>
      <c r="C234" s="337">
        <v>124182</v>
      </c>
      <c r="D234" s="501" t="s">
        <v>273</v>
      </c>
    </row>
    <row r="235" spans="1:4" ht="26.25" x14ac:dyDescent="0.25">
      <c r="A235" s="489">
        <v>353</v>
      </c>
      <c r="B235" s="501" t="s">
        <v>116</v>
      </c>
      <c r="C235" s="337">
        <v>1292320</v>
      </c>
      <c r="D235" s="501" t="s">
        <v>112</v>
      </c>
    </row>
    <row r="236" spans="1:4" ht="26.25" x14ac:dyDescent="0.25">
      <c r="A236" s="489">
        <v>353</v>
      </c>
      <c r="B236" s="501" t="s">
        <v>116</v>
      </c>
      <c r="C236" s="337">
        <v>914573</v>
      </c>
      <c r="D236" s="501" t="s">
        <v>273</v>
      </c>
    </row>
    <row r="237" spans="1:4" ht="26.25" x14ac:dyDescent="0.25">
      <c r="A237" s="489">
        <v>354</v>
      </c>
      <c r="B237" s="501" t="s">
        <v>293</v>
      </c>
      <c r="C237" s="337">
        <v>167757</v>
      </c>
      <c r="D237" s="501" t="s">
        <v>112</v>
      </c>
    </row>
    <row r="238" spans="1:4" ht="26.25" x14ac:dyDescent="0.25">
      <c r="A238" s="489">
        <v>359</v>
      </c>
      <c r="B238" s="501" t="s">
        <v>294</v>
      </c>
      <c r="C238" s="337">
        <v>20574</v>
      </c>
      <c r="D238" s="501" t="s">
        <v>112</v>
      </c>
    </row>
    <row r="239" spans="1:4" ht="26.25" x14ac:dyDescent="0.25">
      <c r="A239" s="489">
        <v>361</v>
      </c>
      <c r="B239" s="501" t="s">
        <v>295</v>
      </c>
      <c r="C239" s="337">
        <v>562786</v>
      </c>
      <c r="D239" s="501" t="s">
        <v>112</v>
      </c>
    </row>
    <row r="240" spans="1:4" ht="26.25" x14ac:dyDescent="0.25">
      <c r="A240" s="489">
        <v>361</v>
      </c>
      <c r="B240" s="501" t="s">
        <v>295</v>
      </c>
      <c r="C240" s="337">
        <v>10695</v>
      </c>
      <c r="D240" s="501" t="s">
        <v>273</v>
      </c>
    </row>
    <row r="241" spans="1:4" ht="26.25" x14ac:dyDescent="0.25">
      <c r="A241" s="489">
        <v>362</v>
      </c>
      <c r="B241" s="501" t="s">
        <v>117</v>
      </c>
      <c r="C241" s="337">
        <v>2145418</v>
      </c>
      <c r="D241" s="501" t="s">
        <v>112</v>
      </c>
    </row>
    <row r="242" spans="1:4" ht="26.25" x14ac:dyDescent="0.25">
      <c r="A242" s="489">
        <v>362</v>
      </c>
      <c r="B242" s="501" t="s">
        <v>117</v>
      </c>
      <c r="C242" s="337">
        <v>910394</v>
      </c>
      <c r="D242" s="501" t="s">
        <v>273</v>
      </c>
    </row>
    <row r="243" spans="1:4" ht="26.25" x14ac:dyDescent="0.25">
      <c r="A243" s="489">
        <v>364</v>
      </c>
      <c r="B243" s="501" t="s">
        <v>296</v>
      </c>
      <c r="C243" s="337">
        <v>10320</v>
      </c>
      <c r="D243" s="501" t="s">
        <v>112</v>
      </c>
    </row>
    <row r="244" spans="1:4" ht="26.25" x14ac:dyDescent="0.25">
      <c r="A244" s="489">
        <v>364</v>
      </c>
      <c r="B244" s="501" t="s">
        <v>296</v>
      </c>
      <c r="C244" s="337">
        <v>504106</v>
      </c>
      <c r="D244" s="501" t="s">
        <v>273</v>
      </c>
    </row>
    <row r="245" spans="1:4" ht="26.25" x14ac:dyDescent="0.25">
      <c r="A245" s="489">
        <v>365</v>
      </c>
      <c r="B245" s="501" t="s">
        <v>218</v>
      </c>
      <c r="C245" s="337">
        <v>2345378</v>
      </c>
      <c r="D245" s="501" t="s">
        <v>112</v>
      </c>
    </row>
    <row r="246" spans="1:4" ht="26.25" x14ac:dyDescent="0.25">
      <c r="A246" s="489">
        <v>365</v>
      </c>
      <c r="B246" s="501" t="s">
        <v>218</v>
      </c>
      <c r="C246" s="337">
        <v>37167</v>
      </c>
      <c r="D246" s="501" t="s">
        <v>273</v>
      </c>
    </row>
    <row r="247" spans="1:4" ht="26.25" x14ac:dyDescent="0.25">
      <c r="A247" s="489">
        <v>366</v>
      </c>
      <c r="B247" s="501" t="s">
        <v>297</v>
      </c>
      <c r="C247" s="337">
        <v>415089</v>
      </c>
      <c r="D247" s="501" t="s">
        <v>112</v>
      </c>
    </row>
    <row r="248" spans="1:4" ht="26.25" x14ac:dyDescent="0.25">
      <c r="A248" s="489">
        <v>367</v>
      </c>
      <c r="B248" s="501" t="s">
        <v>163</v>
      </c>
      <c r="C248" s="337">
        <v>1083195</v>
      </c>
      <c r="D248" s="501" t="s">
        <v>112</v>
      </c>
    </row>
    <row r="249" spans="1:4" ht="26.25" x14ac:dyDescent="0.25">
      <c r="A249" s="489">
        <v>367</v>
      </c>
      <c r="B249" s="501" t="s">
        <v>163</v>
      </c>
      <c r="C249" s="337">
        <v>161874</v>
      </c>
      <c r="D249" s="501" t="s">
        <v>273</v>
      </c>
    </row>
    <row r="250" spans="1:4" ht="26.25" x14ac:dyDescent="0.25">
      <c r="A250" s="489">
        <v>369</v>
      </c>
      <c r="B250" s="501" t="s">
        <v>137</v>
      </c>
      <c r="C250" s="337">
        <v>994847</v>
      </c>
      <c r="D250" s="501" t="s">
        <v>112</v>
      </c>
    </row>
    <row r="251" spans="1:4" ht="26.25" x14ac:dyDescent="0.25">
      <c r="A251" s="489">
        <v>369</v>
      </c>
      <c r="B251" s="501" t="s">
        <v>137</v>
      </c>
      <c r="C251" s="337">
        <v>30729</v>
      </c>
      <c r="D251" s="501" t="s">
        <v>273</v>
      </c>
    </row>
    <row r="252" spans="1:4" ht="26.25" x14ac:dyDescent="0.25">
      <c r="A252" s="489">
        <v>372</v>
      </c>
      <c r="B252" s="501" t="s">
        <v>298</v>
      </c>
      <c r="C252" s="337">
        <v>344161</v>
      </c>
      <c r="D252" s="501" t="s">
        <v>112</v>
      </c>
    </row>
    <row r="253" spans="1:4" ht="26.25" x14ac:dyDescent="0.25">
      <c r="A253" s="489">
        <v>373</v>
      </c>
      <c r="B253" s="501" t="s">
        <v>299</v>
      </c>
      <c r="C253" s="337">
        <v>12720</v>
      </c>
      <c r="D253" s="501" t="s">
        <v>112</v>
      </c>
    </row>
    <row r="254" spans="1:4" ht="26.25" x14ac:dyDescent="0.25">
      <c r="A254" s="489">
        <v>383</v>
      </c>
      <c r="B254" s="501" t="s">
        <v>300</v>
      </c>
      <c r="C254" s="337">
        <v>588349</v>
      </c>
      <c r="D254" s="501" t="s">
        <v>112</v>
      </c>
    </row>
    <row r="255" spans="1:4" ht="26.25" x14ac:dyDescent="0.25">
      <c r="A255" s="489">
        <v>385</v>
      </c>
      <c r="B255" s="501" t="s">
        <v>301</v>
      </c>
      <c r="C255" s="337">
        <v>163650</v>
      </c>
      <c r="D255" s="501" t="s">
        <v>112</v>
      </c>
    </row>
    <row r="256" spans="1:4" ht="26.25" x14ac:dyDescent="0.25">
      <c r="A256" s="489">
        <v>389</v>
      </c>
      <c r="B256" s="501" t="s">
        <v>302</v>
      </c>
      <c r="C256" s="337">
        <v>50877</v>
      </c>
      <c r="D256" s="501" t="s">
        <v>112</v>
      </c>
    </row>
    <row r="257" spans="1:4" ht="26.25" x14ac:dyDescent="0.25">
      <c r="A257" s="489">
        <v>391</v>
      </c>
      <c r="B257" s="501" t="s">
        <v>121</v>
      </c>
      <c r="C257" s="337">
        <v>638604</v>
      </c>
      <c r="D257" s="501" t="s">
        <v>112</v>
      </c>
    </row>
    <row r="258" spans="1:4" ht="26.25" x14ac:dyDescent="0.25">
      <c r="A258" s="489">
        <v>391</v>
      </c>
      <c r="B258" s="501" t="s">
        <v>121</v>
      </c>
      <c r="C258" s="337">
        <v>341758</v>
      </c>
      <c r="D258" s="501" t="s">
        <v>273</v>
      </c>
    </row>
    <row r="259" spans="1:4" ht="26.25" x14ac:dyDescent="0.25">
      <c r="A259" s="489">
        <v>392</v>
      </c>
      <c r="B259" s="501" t="s">
        <v>303</v>
      </c>
      <c r="C259" s="337">
        <v>87898</v>
      </c>
      <c r="D259" s="501" t="s">
        <v>112</v>
      </c>
    </row>
    <row r="260" spans="1:4" ht="26.25" x14ac:dyDescent="0.25">
      <c r="A260" s="489">
        <v>393</v>
      </c>
      <c r="B260" s="501" t="s">
        <v>87</v>
      </c>
      <c r="C260" s="337">
        <v>779392</v>
      </c>
      <c r="D260" s="501" t="s">
        <v>112</v>
      </c>
    </row>
    <row r="261" spans="1:4" ht="26.25" x14ac:dyDescent="0.25">
      <c r="A261" s="489">
        <v>393</v>
      </c>
      <c r="B261" s="501" t="s">
        <v>87</v>
      </c>
      <c r="C261" s="337">
        <v>739843</v>
      </c>
      <c r="D261" s="501" t="s">
        <v>273</v>
      </c>
    </row>
    <row r="262" spans="1:4" ht="26.25" x14ac:dyDescent="0.25">
      <c r="A262" s="489">
        <v>396</v>
      </c>
      <c r="B262" s="501" t="s">
        <v>150</v>
      </c>
      <c r="C262" s="337">
        <v>688602</v>
      </c>
      <c r="D262" s="501" t="s">
        <v>112</v>
      </c>
    </row>
    <row r="263" spans="1:4" ht="26.25" x14ac:dyDescent="0.25">
      <c r="A263" s="489">
        <v>396</v>
      </c>
      <c r="B263" s="501" t="s">
        <v>150</v>
      </c>
      <c r="C263" s="337">
        <v>63344</v>
      </c>
      <c r="D263" s="501" t="s">
        <v>273</v>
      </c>
    </row>
    <row r="264" spans="1:4" ht="26.25" x14ac:dyDescent="0.25">
      <c r="A264" s="489">
        <v>397</v>
      </c>
      <c r="B264" s="501" t="s">
        <v>155</v>
      </c>
      <c r="C264" s="337">
        <v>74808</v>
      </c>
      <c r="D264" s="501" t="s">
        <v>112</v>
      </c>
    </row>
    <row r="265" spans="1:4" ht="26.25" x14ac:dyDescent="0.25">
      <c r="A265" s="489">
        <v>398</v>
      </c>
      <c r="B265" s="501" t="s">
        <v>304</v>
      </c>
      <c r="C265" s="337">
        <v>1756759</v>
      </c>
      <c r="D265" s="501" t="s">
        <v>112</v>
      </c>
    </row>
    <row r="266" spans="1:4" ht="26.25" x14ac:dyDescent="0.25">
      <c r="A266" s="489">
        <v>398</v>
      </c>
      <c r="B266" s="501" t="s">
        <v>304</v>
      </c>
      <c r="C266" s="337">
        <v>7103829</v>
      </c>
      <c r="D266" s="501" t="s">
        <v>273</v>
      </c>
    </row>
    <row r="267" spans="1:4" ht="26.25" x14ac:dyDescent="0.25">
      <c r="A267" s="489">
        <v>511</v>
      </c>
      <c r="B267" s="501" t="s">
        <v>215</v>
      </c>
      <c r="C267" s="337">
        <v>57093</v>
      </c>
      <c r="D267" s="501" t="s">
        <v>112</v>
      </c>
    </row>
    <row r="268" spans="1:4" ht="26.25" x14ac:dyDescent="0.25">
      <c r="A268" s="489">
        <v>579</v>
      </c>
      <c r="B268" s="501" t="s">
        <v>367</v>
      </c>
      <c r="C268" s="337">
        <v>13989294</v>
      </c>
      <c r="D268" s="501" t="s">
        <v>68</v>
      </c>
    </row>
    <row r="269" spans="1:4" ht="26.25" x14ac:dyDescent="0.25">
      <c r="A269" s="489">
        <v>579</v>
      </c>
      <c r="B269" s="501" t="s">
        <v>367</v>
      </c>
      <c r="C269" s="337">
        <v>2224745</v>
      </c>
      <c r="D269" s="501" t="s">
        <v>101</v>
      </c>
    </row>
    <row r="270" spans="1:4" ht="26.25" x14ac:dyDescent="0.25">
      <c r="A270" s="489">
        <v>579</v>
      </c>
      <c r="B270" s="501" t="s">
        <v>367</v>
      </c>
      <c r="C270" s="337">
        <v>13600423</v>
      </c>
      <c r="D270" s="501" t="s">
        <v>586</v>
      </c>
    </row>
    <row r="271" spans="1:4" x14ac:dyDescent="0.25">
      <c r="A271" s="515"/>
      <c r="B271" s="516"/>
      <c r="C271" s="517"/>
      <c r="D271" s="501"/>
    </row>
    <row r="272" spans="1:4" x14ac:dyDescent="0.25">
      <c r="A272" s="498"/>
      <c r="B272" s="336" t="s">
        <v>94</v>
      </c>
      <c r="C272" s="514">
        <f>+C273+C279</f>
        <v>24138206</v>
      </c>
      <c r="D272" s="501"/>
    </row>
    <row r="273" spans="1:5" x14ac:dyDescent="0.25">
      <c r="A273" s="498"/>
      <c r="B273" s="336" t="s">
        <v>73</v>
      </c>
      <c r="C273" s="514">
        <f>SUM(C274:C277)</f>
        <v>4742000</v>
      </c>
      <c r="D273" s="501"/>
      <c r="E273" s="39"/>
    </row>
    <row r="274" spans="1:5" ht="26.25" x14ac:dyDescent="0.25">
      <c r="A274" s="498"/>
      <c r="B274" s="501" t="s">
        <v>805</v>
      </c>
      <c r="C274" s="518">
        <v>1268000</v>
      </c>
      <c r="D274" s="501" t="s">
        <v>126</v>
      </c>
      <c r="E274" s="39"/>
    </row>
    <row r="275" spans="1:5" ht="26.25" x14ac:dyDescent="0.25">
      <c r="A275" s="498"/>
      <c r="B275" s="501" t="s">
        <v>806</v>
      </c>
      <c r="C275" s="337">
        <v>305371</v>
      </c>
      <c r="D275" s="501" t="s">
        <v>305</v>
      </c>
    </row>
    <row r="276" spans="1:5" ht="26.25" x14ac:dyDescent="0.25">
      <c r="A276" s="498"/>
      <c r="B276" s="501" t="s">
        <v>806</v>
      </c>
      <c r="C276" s="337">
        <v>1026629</v>
      </c>
      <c r="D276" s="501" t="s">
        <v>126</v>
      </c>
    </row>
    <row r="277" spans="1:5" ht="26.25" x14ac:dyDescent="0.25">
      <c r="A277" s="498"/>
      <c r="B277" s="501" t="s">
        <v>588</v>
      </c>
      <c r="C277" s="337">
        <v>2142000</v>
      </c>
      <c r="D277" s="501" t="s">
        <v>101</v>
      </c>
    </row>
    <row r="278" spans="1:5" x14ac:dyDescent="0.25">
      <c r="A278" s="498"/>
      <c r="B278" s="501"/>
      <c r="C278" s="500"/>
      <c r="D278" s="501"/>
    </row>
    <row r="279" spans="1:5" x14ac:dyDescent="0.25">
      <c r="A279" s="498"/>
      <c r="B279" s="336" t="s">
        <v>125</v>
      </c>
      <c r="C279" s="514">
        <f>SUM(C280:C289)</f>
        <v>19396206</v>
      </c>
      <c r="D279" s="501"/>
    </row>
    <row r="280" spans="1:5" x14ac:dyDescent="0.25">
      <c r="A280" s="489">
        <v>412</v>
      </c>
      <c r="B280" s="501" t="s">
        <v>306</v>
      </c>
      <c r="C280" s="337">
        <v>3000000</v>
      </c>
      <c r="D280" s="501" t="s">
        <v>305</v>
      </c>
    </row>
    <row r="281" spans="1:5" ht="26.25" x14ac:dyDescent="0.25">
      <c r="A281" s="489">
        <v>432</v>
      </c>
      <c r="B281" s="501" t="s">
        <v>89</v>
      </c>
      <c r="C281" s="337">
        <v>158347</v>
      </c>
      <c r="D281" s="501" t="s">
        <v>112</v>
      </c>
    </row>
    <row r="282" spans="1:5" x14ac:dyDescent="0.25">
      <c r="A282" s="489">
        <v>432</v>
      </c>
      <c r="B282" s="501" t="s">
        <v>89</v>
      </c>
      <c r="C282" s="337">
        <v>103641</v>
      </c>
      <c r="D282" s="501" t="s">
        <v>307</v>
      </c>
    </row>
    <row r="283" spans="1:5" ht="26.25" x14ac:dyDescent="0.25">
      <c r="A283" s="489">
        <v>434</v>
      </c>
      <c r="B283" s="501" t="s">
        <v>208</v>
      </c>
      <c r="C283" s="337">
        <v>164160</v>
      </c>
      <c r="D283" s="501" t="s">
        <v>112</v>
      </c>
    </row>
    <row r="284" spans="1:5" ht="26.25" x14ac:dyDescent="0.25">
      <c r="A284" s="489">
        <v>435</v>
      </c>
      <c r="B284" s="501" t="s">
        <v>308</v>
      </c>
      <c r="C284" s="337">
        <v>1099640</v>
      </c>
      <c r="D284" s="501" t="s">
        <v>112</v>
      </c>
    </row>
    <row r="285" spans="1:5" ht="26.25" x14ac:dyDescent="0.25">
      <c r="A285" s="489">
        <v>437</v>
      </c>
      <c r="B285" s="501" t="s">
        <v>100</v>
      </c>
      <c r="C285" s="337">
        <v>1356009</v>
      </c>
      <c r="D285" s="501" t="s">
        <v>112</v>
      </c>
    </row>
    <row r="286" spans="1:5" ht="26.25" x14ac:dyDescent="0.25">
      <c r="A286" s="489">
        <v>438</v>
      </c>
      <c r="B286" s="501" t="s">
        <v>344</v>
      </c>
      <c r="C286" s="337">
        <v>49000</v>
      </c>
      <c r="D286" s="501" t="s">
        <v>112</v>
      </c>
    </row>
    <row r="287" spans="1:5" ht="26.25" x14ac:dyDescent="0.25">
      <c r="A287" s="489">
        <v>439</v>
      </c>
      <c r="B287" s="501" t="s">
        <v>156</v>
      </c>
      <c r="C287" s="337">
        <v>2173888</v>
      </c>
      <c r="D287" s="501" t="s">
        <v>112</v>
      </c>
    </row>
    <row r="288" spans="1:5" x14ac:dyDescent="0.25">
      <c r="A288" s="489">
        <v>439</v>
      </c>
      <c r="B288" s="501" t="s">
        <v>156</v>
      </c>
      <c r="C288" s="337">
        <v>709</v>
      </c>
      <c r="D288" s="501" t="s">
        <v>307</v>
      </c>
    </row>
    <row r="289" spans="1:5" x14ac:dyDescent="0.25">
      <c r="A289" s="489">
        <v>679</v>
      </c>
      <c r="B289" s="501" t="s">
        <v>587</v>
      </c>
      <c r="C289" s="337">
        <v>11290812</v>
      </c>
      <c r="D289" s="501" t="s">
        <v>101</v>
      </c>
    </row>
    <row r="290" spans="1:5" x14ac:dyDescent="0.25">
      <c r="A290" s="481"/>
      <c r="B290" s="482"/>
      <c r="C290" s="483"/>
      <c r="D290" s="501"/>
    </row>
    <row r="291" spans="1:5" x14ac:dyDescent="0.25">
      <c r="A291" s="519" t="s">
        <v>104</v>
      </c>
      <c r="B291" s="482"/>
      <c r="C291" s="514">
        <f>+C292+C295</f>
        <v>34222853</v>
      </c>
      <c r="D291" s="501"/>
    </row>
    <row r="292" spans="1:5" x14ac:dyDescent="0.25">
      <c r="A292" s="520"/>
      <c r="B292" s="336" t="s">
        <v>66</v>
      </c>
      <c r="C292" s="334">
        <f>+C293</f>
        <v>700000</v>
      </c>
      <c r="D292" s="501"/>
    </row>
    <row r="293" spans="1:5" x14ac:dyDescent="0.25">
      <c r="A293" s="489">
        <v>299</v>
      </c>
      <c r="B293" s="349" t="s">
        <v>85</v>
      </c>
      <c r="C293" s="337">
        <v>700000</v>
      </c>
      <c r="D293" s="501" t="s">
        <v>68</v>
      </c>
    </row>
    <row r="294" spans="1:5" x14ac:dyDescent="0.25">
      <c r="A294" s="489"/>
      <c r="B294" s="349"/>
      <c r="C294" s="337"/>
      <c r="D294" s="501"/>
    </row>
    <row r="295" spans="1:5" x14ac:dyDescent="0.25">
      <c r="A295" s="520"/>
      <c r="B295" s="336" t="s">
        <v>94</v>
      </c>
      <c r="C295" s="514">
        <f>+C296</f>
        <v>33522853</v>
      </c>
      <c r="D295" s="501"/>
      <c r="E295" s="39"/>
    </row>
    <row r="296" spans="1:5" x14ac:dyDescent="0.25">
      <c r="A296" s="520"/>
      <c r="B296" s="336" t="s">
        <v>73</v>
      </c>
      <c r="C296" s="514">
        <f>SUM(C297:C306)</f>
        <v>33522853</v>
      </c>
      <c r="D296" s="501"/>
      <c r="E296" s="39"/>
    </row>
    <row r="297" spans="1:5" x14ac:dyDescent="0.25">
      <c r="A297" s="520"/>
      <c r="B297" s="501" t="s">
        <v>105</v>
      </c>
      <c r="C297" s="337">
        <v>500000</v>
      </c>
      <c r="D297" s="501" t="s">
        <v>68</v>
      </c>
    </row>
    <row r="298" spans="1:5" x14ac:dyDescent="0.25">
      <c r="A298" s="520"/>
      <c r="B298" s="501" t="s">
        <v>609</v>
      </c>
      <c r="C298" s="337">
        <v>1000000</v>
      </c>
      <c r="D298" s="501" t="s">
        <v>68</v>
      </c>
    </row>
    <row r="299" spans="1:5" x14ac:dyDescent="0.25">
      <c r="A299" s="520"/>
      <c r="B299" s="501" t="s">
        <v>106</v>
      </c>
      <c r="C299" s="337">
        <v>750000</v>
      </c>
      <c r="D299" s="501" t="s">
        <v>68</v>
      </c>
    </row>
    <row r="300" spans="1:5" ht="26.25" x14ac:dyDescent="0.25">
      <c r="A300" s="520"/>
      <c r="B300" s="501" t="s">
        <v>107</v>
      </c>
      <c r="C300" s="337">
        <v>500000</v>
      </c>
      <c r="D300" s="501" t="s">
        <v>68</v>
      </c>
    </row>
    <row r="301" spans="1:5" ht="26.25" x14ac:dyDescent="0.25">
      <c r="A301" s="520"/>
      <c r="B301" s="501" t="s">
        <v>108</v>
      </c>
      <c r="C301" s="337">
        <v>500000</v>
      </c>
      <c r="D301" s="501" t="s">
        <v>68</v>
      </c>
    </row>
    <row r="302" spans="1:5" x14ac:dyDescent="0.25">
      <c r="A302" s="520"/>
      <c r="B302" s="501" t="s">
        <v>109</v>
      </c>
      <c r="C302" s="337">
        <v>750000</v>
      </c>
      <c r="D302" s="501" t="s">
        <v>68</v>
      </c>
    </row>
    <row r="303" spans="1:5" x14ac:dyDescent="0.25">
      <c r="A303" s="520"/>
      <c r="B303" s="501" t="s">
        <v>110</v>
      </c>
      <c r="C303" s="337">
        <v>500000</v>
      </c>
      <c r="D303" s="501" t="s">
        <v>68</v>
      </c>
    </row>
    <row r="304" spans="1:5" x14ac:dyDescent="0.25">
      <c r="A304" s="520"/>
      <c r="B304" s="501" t="s">
        <v>607</v>
      </c>
      <c r="C304" s="337">
        <v>500000</v>
      </c>
      <c r="D304" s="501" t="s">
        <v>68</v>
      </c>
    </row>
    <row r="305" spans="1:5" ht="26.25" x14ac:dyDescent="0.25">
      <c r="A305" s="520"/>
      <c r="B305" s="501" t="s">
        <v>610</v>
      </c>
      <c r="C305" s="337">
        <v>7586357</v>
      </c>
      <c r="D305" s="501" t="s">
        <v>314</v>
      </c>
    </row>
    <row r="306" spans="1:5" ht="26.25" x14ac:dyDescent="0.25">
      <c r="A306" s="520"/>
      <c r="B306" s="501" t="s">
        <v>313</v>
      </c>
      <c r="C306" s="518">
        <v>20936496</v>
      </c>
      <c r="D306" s="501" t="s">
        <v>345</v>
      </c>
    </row>
    <row r="307" spans="1:5" x14ac:dyDescent="0.25">
      <c r="A307" s="520"/>
      <c r="B307" s="501"/>
      <c r="C307" s="337"/>
      <c r="D307" s="501"/>
    </row>
    <row r="308" spans="1:5" x14ac:dyDescent="0.25">
      <c r="A308" s="521" t="s">
        <v>315</v>
      </c>
      <c r="B308" s="522"/>
      <c r="C308" s="523">
        <f>+C309+C326</f>
        <v>107552297</v>
      </c>
      <c r="D308" s="501"/>
      <c r="E308" s="39"/>
    </row>
    <row r="309" spans="1:5" x14ac:dyDescent="0.25">
      <c r="A309" s="524"/>
      <c r="B309" s="525" t="s">
        <v>66</v>
      </c>
      <c r="C309" s="526">
        <f>SUM(C310:C324)</f>
        <v>66653577</v>
      </c>
      <c r="D309" s="501"/>
      <c r="E309" s="39"/>
    </row>
    <row r="310" spans="1:5" ht="26.25" x14ac:dyDescent="0.25">
      <c r="A310" s="527">
        <v>131</v>
      </c>
      <c r="B310" s="501" t="s">
        <v>135</v>
      </c>
      <c r="C310" s="518">
        <v>584136</v>
      </c>
      <c r="D310" s="501" t="s">
        <v>316</v>
      </c>
    </row>
    <row r="311" spans="1:5" ht="26.25" x14ac:dyDescent="0.25">
      <c r="A311" s="527">
        <v>136</v>
      </c>
      <c r="B311" s="501" t="s">
        <v>274</v>
      </c>
      <c r="C311" s="518">
        <v>35000</v>
      </c>
      <c r="D311" s="501" t="s">
        <v>316</v>
      </c>
    </row>
    <row r="312" spans="1:5" ht="26.25" x14ac:dyDescent="0.25">
      <c r="A312" s="527">
        <v>137</v>
      </c>
      <c r="B312" s="501" t="s">
        <v>275</v>
      </c>
      <c r="C312" s="518">
        <v>307000</v>
      </c>
      <c r="D312" s="501" t="s">
        <v>316</v>
      </c>
    </row>
    <row r="313" spans="1:5" ht="26.25" x14ac:dyDescent="0.25">
      <c r="A313" s="527">
        <v>162</v>
      </c>
      <c r="B313" s="501" t="s">
        <v>153</v>
      </c>
      <c r="C313" s="518">
        <v>252000</v>
      </c>
      <c r="D313" s="501" t="s">
        <v>316</v>
      </c>
    </row>
    <row r="314" spans="1:5" ht="26.25" x14ac:dyDescent="0.25">
      <c r="A314" s="527">
        <v>193</v>
      </c>
      <c r="B314" s="501" t="s">
        <v>317</v>
      </c>
      <c r="C314" s="518">
        <v>104620</v>
      </c>
      <c r="D314" s="501" t="s">
        <v>316</v>
      </c>
    </row>
    <row r="315" spans="1:5" x14ac:dyDescent="0.25">
      <c r="A315" s="527">
        <v>231</v>
      </c>
      <c r="B315" s="501" t="s">
        <v>123</v>
      </c>
      <c r="C315" s="518">
        <f>1400000+13707500</f>
        <v>15107500</v>
      </c>
      <c r="D315" s="501" t="s">
        <v>318</v>
      </c>
    </row>
    <row r="316" spans="1:5" x14ac:dyDescent="0.25">
      <c r="A316" s="527">
        <v>243</v>
      </c>
      <c r="B316" s="501" t="s">
        <v>67</v>
      </c>
      <c r="C316" s="518">
        <v>2500000</v>
      </c>
      <c r="D316" s="501" t="s">
        <v>319</v>
      </c>
    </row>
    <row r="317" spans="1:5" x14ac:dyDescent="0.25">
      <c r="A317" s="527">
        <v>248</v>
      </c>
      <c r="B317" s="501" t="s">
        <v>807</v>
      </c>
      <c r="C317" s="518">
        <f>28600000-16755075</f>
        <v>11844925</v>
      </c>
      <c r="D317" s="501" t="s">
        <v>318</v>
      </c>
    </row>
    <row r="318" spans="1:5" x14ac:dyDescent="0.25">
      <c r="A318" s="527">
        <v>248</v>
      </c>
      <c r="B318" s="501" t="s">
        <v>807</v>
      </c>
      <c r="C318" s="518">
        <f>34345000-13367628</f>
        <v>20977372</v>
      </c>
      <c r="D318" s="501" t="s">
        <v>307</v>
      </c>
    </row>
    <row r="319" spans="1:5" x14ac:dyDescent="0.25">
      <c r="A319" s="527">
        <v>248</v>
      </c>
      <c r="B319" s="501" t="s">
        <v>808</v>
      </c>
      <c r="C319" s="518">
        <v>2900000</v>
      </c>
      <c r="D319" s="501" t="s">
        <v>320</v>
      </c>
    </row>
    <row r="320" spans="1:5" x14ac:dyDescent="0.25">
      <c r="A320" s="527">
        <v>252</v>
      </c>
      <c r="B320" s="501" t="s">
        <v>678</v>
      </c>
      <c r="C320" s="518">
        <v>1186000</v>
      </c>
      <c r="D320" s="501" t="s">
        <v>319</v>
      </c>
    </row>
    <row r="321" spans="1:5" x14ac:dyDescent="0.25">
      <c r="A321" s="527">
        <v>261</v>
      </c>
      <c r="B321" s="501" t="s">
        <v>124</v>
      </c>
      <c r="C321" s="518">
        <v>2800000</v>
      </c>
      <c r="D321" s="501" t="s">
        <v>319</v>
      </c>
    </row>
    <row r="322" spans="1:5" ht="26.25" x14ac:dyDescent="0.25">
      <c r="A322" s="527">
        <v>273</v>
      </c>
      <c r="B322" s="501" t="s">
        <v>114</v>
      </c>
      <c r="C322" s="518">
        <v>659024</v>
      </c>
      <c r="D322" s="501" t="s">
        <v>112</v>
      </c>
    </row>
    <row r="323" spans="1:5" ht="26.25" x14ac:dyDescent="0.25">
      <c r="A323" s="527">
        <v>332</v>
      </c>
      <c r="B323" s="501" t="s">
        <v>154</v>
      </c>
      <c r="C323" s="518">
        <v>5000000</v>
      </c>
      <c r="D323" s="501" t="s">
        <v>112</v>
      </c>
    </row>
    <row r="324" spans="1:5" ht="26.25" x14ac:dyDescent="0.25">
      <c r="A324" s="527">
        <v>362</v>
      </c>
      <c r="B324" s="501" t="s">
        <v>117</v>
      </c>
      <c r="C324" s="518">
        <v>2396000</v>
      </c>
      <c r="D324" s="501" t="s">
        <v>112</v>
      </c>
    </row>
    <row r="325" spans="1:5" x14ac:dyDescent="0.25">
      <c r="A325" s="528"/>
      <c r="B325" s="501"/>
      <c r="C325" s="529"/>
      <c r="D325" s="501"/>
    </row>
    <row r="326" spans="1:5" x14ac:dyDescent="0.25">
      <c r="A326" s="528"/>
      <c r="B326" s="525" t="s">
        <v>94</v>
      </c>
      <c r="C326" s="526">
        <f>+C327+C339</f>
        <v>40898720</v>
      </c>
      <c r="D326" s="501"/>
    </row>
    <row r="327" spans="1:5" x14ac:dyDescent="0.25">
      <c r="A327" s="528"/>
      <c r="B327" s="525" t="s">
        <v>73</v>
      </c>
      <c r="C327" s="526">
        <f>SUM(C328:C337)</f>
        <v>36644030</v>
      </c>
      <c r="D327" s="501"/>
    </row>
    <row r="328" spans="1:5" x14ac:dyDescent="0.25">
      <c r="A328" s="527"/>
      <c r="B328" s="501" t="s">
        <v>321</v>
      </c>
      <c r="C328" s="518">
        <v>3594640</v>
      </c>
      <c r="D328" s="501" t="s">
        <v>79</v>
      </c>
      <c r="E328" s="39"/>
    </row>
    <row r="329" spans="1:5" x14ac:dyDescent="0.25">
      <c r="A329" s="527"/>
      <c r="B329" s="501" t="s">
        <v>322</v>
      </c>
      <c r="C329" s="518">
        <v>5795547</v>
      </c>
      <c r="D329" s="501" t="s">
        <v>79</v>
      </c>
    </row>
    <row r="330" spans="1:5" x14ac:dyDescent="0.25">
      <c r="A330" s="527"/>
      <c r="B330" s="501" t="s">
        <v>323</v>
      </c>
      <c r="C330" s="518">
        <v>4675030</v>
      </c>
      <c r="D330" s="501" t="s">
        <v>79</v>
      </c>
    </row>
    <row r="331" spans="1:5" x14ac:dyDescent="0.25">
      <c r="A331" s="527"/>
      <c r="B331" s="501" t="s">
        <v>324</v>
      </c>
      <c r="C331" s="518">
        <f>12683798-10000000</f>
        <v>2683798</v>
      </c>
      <c r="D331" s="501" t="s">
        <v>79</v>
      </c>
    </row>
    <row r="332" spans="1:5" ht="26.25" x14ac:dyDescent="0.25">
      <c r="A332" s="527"/>
      <c r="B332" s="501" t="s">
        <v>325</v>
      </c>
      <c r="C332" s="518">
        <v>14008289</v>
      </c>
      <c r="D332" s="501" t="s">
        <v>79</v>
      </c>
    </row>
    <row r="333" spans="1:5" ht="26.25" x14ac:dyDescent="0.25">
      <c r="A333" s="527"/>
      <c r="B333" s="501" t="s">
        <v>326</v>
      </c>
      <c r="C333" s="518">
        <v>4446726</v>
      </c>
      <c r="D333" s="501" t="s">
        <v>79</v>
      </c>
    </row>
    <row r="334" spans="1:5" ht="26.25" x14ac:dyDescent="0.25">
      <c r="A334" s="527"/>
      <c r="B334" s="501" t="s">
        <v>327</v>
      </c>
      <c r="C334" s="518">
        <v>472414</v>
      </c>
      <c r="D334" s="501" t="s">
        <v>328</v>
      </c>
      <c r="E334" s="39"/>
    </row>
    <row r="335" spans="1:5" ht="26.25" x14ac:dyDescent="0.25">
      <c r="A335" s="527"/>
      <c r="B335" s="501" t="s">
        <v>329</v>
      </c>
      <c r="C335" s="518">
        <v>213612</v>
      </c>
      <c r="D335" s="501" t="s">
        <v>328</v>
      </c>
    </row>
    <row r="336" spans="1:5" ht="26.25" x14ac:dyDescent="0.25">
      <c r="A336" s="527"/>
      <c r="B336" s="501" t="s">
        <v>330</v>
      </c>
      <c r="C336" s="518">
        <v>463526</v>
      </c>
      <c r="D336" s="501" t="s">
        <v>328</v>
      </c>
    </row>
    <row r="337" spans="1:4" ht="26.25" x14ac:dyDescent="0.25">
      <c r="A337" s="527"/>
      <c r="B337" s="501" t="s">
        <v>331</v>
      </c>
      <c r="C337" s="518">
        <v>290448</v>
      </c>
      <c r="D337" s="501" t="s">
        <v>328</v>
      </c>
    </row>
    <row r="338" spans="1:4" x14ac:dyDescent="0.25">
      <c r="A338" s="528"/>
      <c r="B338" s="501"/>
      <c r="C338" s="530"/>
      <c r="D338" s="501"/>
    </row>
    <row r="339" spans="1:4" x14ac:dyDescent="0.25">
      <c r="A339" s="528"/>
      <c r="B339" s="525" t="s">
        <v>590</v>
      </c>
      <c r="C339" s="526">
        <f>SUM(C340:C341)</f>
        <v>4254690</v>
      </c>
      <c r="D339" s="501"/>
    </row>
    <row r="340" spans="1:4" x14ac:dyDescent="0.25">
      <c r="A340" s="527">
        <v>439</v>
      </c>
      <c r="B340" s="501" t="s">
        <v>156</v>
      </c>
      <c r="C340" s="518">
        <v>4254690</v>
      </c>
      <c r="D340" s="501" t="s">
        <v>318</v>
      </c>
    </row>
    <row r="341" spans="1:4" x14ac:dyDescent="0.25">
      <c r="A341" s="520"/>
      <c r="B341" s="349"/>
      <c r="C341" s="337"/>
      <c r="D341" s="501"/>
    </row>
    <row r="342" spans="1:4" x14ac:dyDescent="0.25">
      <c r="A342" s="519" t="s">
        <v>144</v>
      </c>
      <c r="B342" s="482"/>
      <c r="C342" s="514">
        <f>+C343</f>
        <v>824411</v>
      </c>
      <c r="D342" s="501"/>
    </row>
    <row r="343" spans="1:4" x14ac:dyDescent="0.25">
      <c r="A343" s="520"/>
      <c r="B343" s="336" t="s">
        <v>66</v>
      </c>
      <c r="C343" s="334">
        <f>SUM(C344:C357)</f>
        <v>824411</v>
      </c>
      <c r="D343" s="501"/>
    </row>
    <row r="344" spans="1:4" x14ac:dyDescent="0.25">
      <c r="A344" s="489">
        <v>216</v>
      </c>
      <c r="B344" s="501" t="s">
        <v>131</v>
      </c>
      <c r="C344" s="337">
        <v>103000</v>
      </c>
      <c r="D344" s="501" t="s">
        <v>68</v>
      </c>
    </row>
    <row r="345" spans="1:4" x14ac:dyDescent="0.25">
      <c r="A345" s="489">
        <v>231</v>
      </c>
      <c r="B345" s="501" t="s">
        <v>123</v>
      </c>
      <c r="C345" s="337">
        <v>25000</v>
      </c>
      <c r="D345" s="501" t="s">
        <v>68</v>
      </c>
    </row>
    <row r="346" spans="1:4" x14ac:dyDescent="0.25">
      <c r="A346" s="489">
        <v>233</v>
      </c>
      <c r="B346" s="501" t="s">
        <v>133</v>
      </c>
      <c r="C346" s="337">
        <v>15680</v>
      </c>
      <c r="D346" s="501" t="s">
        <v>68</v>
      </c>
    </row>
    <row r="347" spans="1:4" x14ac:dyDescent="0.25">
      <c r="A347" s="489">
        <v>299</v>
      </c>
      <c r="B347" s="501" t="s">
        <v>145</v>
      </c>
      <c r="C347" s="337">
        <v>29411</v>
      </c>
      <c r="D347" s="501" t="s">
        <v>68</v>
      </c>
    </row>
    <row r="348" spans="1:4" x14ac:dyDescent="0.25">
      <c r="A348" s="489">
        <v>333</v>
      </c>
      <c r="B348" s="501" t="s">
        <v>146</v>
      </c>
      <c r="C348" s="337">
        <v>100000</v>
      </c>
      <c r="D348" s="501" t="s">
        <v>68</v>
      </c>
    </row>
    <row r="349" spans="1:4" x14ac:dyDescent="0.25">
      <c r="A349" s="489">
        <v>341</v>
      </c>
      <c r="B349" s="501" t="s">
        <v>147</v>
      </c>
      <c r="C349" s="337">
        <v>30820</v>
      </c>
      <c r="D349" s="501" t="s">
        <v>68</v>
      </c>
    </row>
    <row r="350" spans="1:4" x14ac:dyDescent="0.25">
      <c r="A350" s="489">
        <v>342</v>
      </c>
      <c r="B350" s="501" t="s">
        <v>148</v>
      </c>
      <c r="C350" s="337">
        <v>9235</v>
      </c>
      <c r="D350" s="501" t="s">
        <v>68</v>
      </c>
    </row>
    <row r="351" spans="1:4" x14ac:dyDescent="0.25">
      <c r="A351" s="489">
        <v>352</v>
      </c>
      <c r="B351" s="501" t="s">
        <v>229</v>
      </c>
      <c r="C351" s="337">
        <v>30000</v>
      </c>
      <c r="D351" s="501" t="s">
        <v>68</v>
      </c>
    </row>
    <row r="352" spans="1:4" x14ac:dyDescent="0.25">
      <c r="A352" s="489">
        <v>353</v>
      </c>
      <c r="B352" s="501" t="s">
        <v>149</v>
      </c>
      <c r="C352" s="337">
        <v>42665</v>
      </c>
      <c r="D352" s="501" t="s">
        <v>68</v>
      </c>
    </row>
    <row r="353" spans="1:4" x14ac:dyDescent="0.25">
      <c r="A353" s="489">
        <v>362</v>
      </c>
      <c r="B353" s="501" t="s">
        <v>117</v>
      </c>
      <c r="C353" s="337">
        <v>284200</v>
      </c>
      <c r="D353" s="501" t="s">
        <v>68</v>
      </c>
    </row>
    <row r="354" spans="1:4" x14ac:dyDescent="0.25">
      <c r="A354" s="489">
        <v>369</v>
      </c>
      <c r="B354" s="501" t="s">
        <v>137</v>
      </c>
      <c r="C354" s="337">
        <v>113550</v>
      </c>
      <c r="D354" s="501" t="s">
        <v>68</v>
      </c>
    </row>
    <row r="355" spans="1:4" x14ac:dyDescent="0.25">
      <c r="A355" s="489">
        <v>391</v>
      </c>
      <c r="B355" s="501" t="s">
        <v>121</v>
      </c>
      <c r="C355" s="337">
        <v>22700</v>
      </c>
      <c r="D355" s="501" t="s">
        <v>68</v>
      </c>
    </row>
    <row r="356" spans="1:4" x14ac:dyDescent="0.25">
      <c r="A356" s="489">
        <v>396</v>
      </c>
      <c r="B356" s="501" t="s">
        <v>150</v>
      </c>
      <c r="C356" s="337">
        <v>10800</v>
      </c>
      <c r="D356" s="501" t="s">
        <v>68</v>
      </c>
    </row>
    <row r="357" spans="1:4" x14ac:dyDescent="0.25">
      <c r="A357" s="489">
        <v>399</v>
      </c>
      <c r="B357" s="501" t="s">
        <v>71</v>
      </c>
      <c r="C357" s="337">
        <v>7350</v>
      </c>
      <c r="D357" s="501" t="s">
        <v>68</v>
      </c>
    </row>
    <row r="358" spans="1:4" x14ac:dyDescent="0.25">
      <c r="A358" s="520"/>
      <c r="B358" s="349"/>
      <c r="C358" s="337"/>
      <c r="D358" s="501"/>
    </row>
    <row r="359" spans="1:4" x14ac:dyDescent="0.25">
      <c r="A359" s="485" t="s">
        <v>102</v>
      </c>
      <c r="B359" s="486"/>
      <c r="C359" s="487">
        <f>+C360</f>
        <v>4924000</v>
      </c>
      <c r="D359" s="501"/>
    </row>
    <row r="360" spans="1:4" x14ac:dyDescent="0.25">
      <c r="A360" s="485"/>
      <c r="B360" s="490" t="s">
        <v>66</v>
      </c>
      <c r="C360" s="487">
        <f>+C361</f>
        <v>4924000</v>
      </c>
      <c r="D360" s="501"/>
    </row>
    <row r="361" spans="1:4" x14ac:dyDescent="0.25">
      <c r="A361" s="489">
        <v>191</v>
      </c>
      <c r="B361" s="501" t="s">
        <v>103</v>
      </c>
      <c r="C361" s="492">
        <v>4924000</v>
      </c>
      <c r="D361" s="501" t="s">
        <v>68</v>
      </c>
    </row>
    <row r="362" spans="1:4" x14ac:dyDescent="0.25">
      <c r="A362" s="481"/>
      <c r="B362" s="482"/>
      <c r="C362" s="483"/>
      <c r="D362" s="501"/>
    </row>
    <row r="363" spans="1:4" x14ac:dyDescent="0.25">
      <c r="A363" s="485" t="s">
        <v>65</v>
      </c>
      <c r="B363" s="486"/>
      <c r="C363" s="487">
        <f>+C364+C372</f>
        <v>126530659</v>
      </c>
      <c r="D363" s="501"/>
    </row>
    <row r="364" spans="1:4" x14ac:dyDescent="0.25">
      <c r="A364" s="485"/>
      <c r="B364" s="490" t="s">
        <v>66</v>
      </c>
      <c r="C364" s="487">
        <f>SUM(C365:C370)</f>
        <v>29771947</v>
      </c>
      <c r="D364" s="501"/>
    </row>
    <row r="365" spans="1:4" x14ac:dyDescent="0.25">
      <c r="A365" s="489">
        <v>243</v>
      </c>
      <c r="B365" s="501" t="s">
        <v>67</v>
      </c>
      <c r="C365" s="492">
        <v>684110</v>
      </c>
      <c r="D365" s="501" t="s">
        <v>68</v>
      </c>
    </row>
    <row r="366" spans="1:4" x14ac:dyDescent="0.25">
      <c r="A366" s="489">
        <v>253</v>
      </c>
      <c r="B366" s="501" t="s">
        <v>405</v>
      </c>
      <c r="C366" s="492">
        <v>230993</v>
      </c>
      <c r="D366" s="501" t="s">
        <v>68</v>
      </c>
    </row>
    <row r="367" spans="1:4" x14ac:dyDescent="0.25">
      <c r="A367" s="489">
        <v>273</v>
      </c>
      <c r="B367" s="501" t="s">
        <v>226</v>
      </c>
      <c r="C367" s="492">
        <v>71812</v>
      </c>
      <c r="D367" s="501" t="s">
        <v>68</v>
      </c>
    </row>
    <row r="368" spans="1:4" x14ac:dyDescent="0.25">
      <c r="A368" s="489">
        <v>241</v>
      </c>
      <c r="B368" s="501" t="s">
        <v>69</v>
      </c>
      <c r="C368" s="492">
        <v>1090000</v>
      </c>
      <c r="D368" s="501" t="s">
        <v>79</v>
      </c>
    </row>
    <row r="369" spans="1:5" x14ac:dyDescent="0.25">
      <c r="A369" s="489">
        <v>243</v>
      </c>
      <c r="B369" s="501" t="s">
        <v>70</v>
      </c>
      <c r="C369" s="492">
        <v>3937000</v>
      </c>
      <c r="D369" s="501" t="s">
        <v>79</v>
      </c>
    </row>
    <row r="370" spans="1:5" x14ac:dyDescent="0.25">
      <c r="A370" s="489">
        <v>399</v>
      </c>
      <c r="B370" s="501" t="s">
        <v>71</v>
      </c>
      <c r="C370" s="492">
        <v>23758032</v>
      </c>
      <c r="D370" s="501" t="s">
        <v>80</v>
      </c>
    </row>
    <row r="371" spans="1:5" x14ac:dyDescent="0.25">
      <c r="A371" s="489"/>
      <c r="B371" s="501"/>
      <c r="C371" s="492"/>
      <c r="D371" s="501"/>
    </row>
    <row r="372" spans="1:5" x14ac:dyDescent="0.25">
      <c r="A372" s="531"/>
      <c r="B372" s="532" t="s">
        <v>72</v>
      </c>
      <c r="C372" s="533">
        <f>+C373</f>
        <v>96758712</v>
      </c>
      <c r="D372" s="501"/>
    </row>
    <row r="373" spans="1:5" x14ac:dyDescent="0.25">
      <c r="A373" s="531"/>
      <c r="B373" s="490" t="s">
        <v>73</v>
      </c>
      <c r="C373" s="533">
        <f>SUM(C374:C381)</f>
        <v>96758712</v>
      </c>
      <c r="D373" s="501"/>
    </row>
    <row r="374" spans="1:5" ht="26.25" x14ac:dyDescent="0.25">
      <c r="A374" s="531"/>
      <c r="B374" s="501" t="s">
        <v>74</v>
      </c>
      <c r="C374" s="534">
        <f>9394000-5000000</f>
        <v>4394000</v>
      </c>
      <c r="D374" s="501" t="s">
        <v>75</v>
      </c>
      <c r="E374" s="39"/>
    </row>
    <row r="375" spans="1:5" ht="25.5" customHeight="1" x14ac:dyDescent="0.25">
      <c r="A375" s="531"/>
      <c r="B375" s="501" t="s">
        <v>76</v>
      </c>
      <c r="C375" s="535">
        <v>761573</v>
      </c>
      <c r="D375" s="501" t="s">
        <v>75</v>
      </c>
    </row>
    <row r="376" spans="1:5" ht="26.25" x14ac:dyDescent="0.25">
      <c r="A376" s="531"/>
      <c r="B376" s="501" t="s">
        <v>77</v>
      </c>
      <c r="C376" s="534">
        <v>253740</v>
      </c>
      <c r="D376" s="501" t="s">
        <v>75</v>
      </c>
    </row>
    <row r="377" spans="1:5" ht="26.25" x14ac:dyDescent="0.25">
      <c r="A377" s="536"/>
      <c r="B377" s="501" t="s">
        <v>77</v>
      </c>
      <c r="C377" s="492">
        <f>8987832+3692338</f>
        <v>12680170</v>
      </c>
      <c r="D377" s="501" t="s">
        <v>364</v>
      </c>
    </row>
    <row r="378" spans="1:5" ht="26.25" x14ac:dyDescent="0.25">
      <c r="A378" s="536"/>
      <c r="B378" s="501" t="s">
        <v>78</v>
      </c>
      <c r="C378" s="492">
        <v>1914687</v>
      </c>
      <c r="D378" s="501" t="s">
        <v>75</v>
      </c>
    </row>
    <row r="379" spans="1:5" ht="26.25" x14ac:dyDescent="0.25">
      <c r="A379" s="531"/>
      <c r="B379" s="501" t="s">
        <v>78</v>
      </c>
      <c r="C379" s="492">
        <f>4895391+20501875</f>
        <v>25397266</v>
      </c>
      <c r="D379" s="501" t="s">
        <v>80</v>
      </c>
    </row>
    <row r="380" spans="1:5" ht="26.25" x14ac:dyDescent="0.25">
      <c r="A380" s="531"/>
      <c r="B380" s="501" t="s">
        <v>611</v>
      </c>
      <c r="C380" s="495">
        <v>15055400</v>
      </c>
      <c r="D380" s="501" t="s">
        <v>80</v>
      </c>
    </row>
    <row r="381" spans="1:5" ht="26.25" x14ac:dyDescent="0.25">
      <c r="A381" s="531"/>
      <c r="B381" s="501" t="s">
        <v>230</v>
      </c>
      <c r="C381" s="495">
        <v>36301876</v>
      </c>
      <c r="D381" s="501" t="s">
        <v>80</v>
      </c>
    </row>
    <row r="382" spans="1:5" x14ac:dyDescent="0.25">
      <c r="A382" s="505"/>
      <c r="B382" s="501"/>
      <c r="C382" s="506"/>
      <c r="D382" s="501"/>
      <c r="E382" s="39"/>
    </row>
    <row r="383" spans="1:5" x14ac:dyDescent="0.25">
      <c r="A383" s="485" t="s">
        <v>151</v>
      </c>
      <c r="B383" s="486"/>
      <c r="C383" s="487">
        <f>+C384</f>
        <v>1924183</v>
      </c>
      <c r="D383" s="501"/>
      <c r="E383" s="39"/>
    </row>
    <row r="384" spans="1:5" x14ac:dyDescent="0.25">
      <c r="A384" s="485"/>
      <c r="B384" s="490" t="s">
        <v>66</v>
      </c>
      <c r="C384" s="487">
        <f>SUM(C385:C388)</f>
        <v>1924183</v>
      </c>
      <c r="D384" s="501"/>
    </row>
    <row r="385" spans="1:5" x14ac:dyDescent="0.25">
      <c r="A385" s="527">
        <v>249</v>
      </c>
      <c r="B385" s="501" t="s">
        <v>82</v>
      </c>
      <c r="C385" s="495">
        <v>300000</v>
      </c>
      <c r="D385" s="501" t="s">
        <v>216</v>
      </c>
    </row>
    <row r="386" spans="1:5" x14ac:dyDescent="0.25">
      <c r="A386" s="527">
        <v>252</v>
      </c>
      <c r="B386" s="501" t="s">
        <v>83</v>
      </c>
      <c r="C386" s="495">
        <v>324183</v>
      </c>
      <c r="D386" s="501" t="s">
        <v>216</v>
      </c>
    </row>
    <row r="387" spans="1:5" x14ac:dyDescent="0.25">
      <c r="A387" s="527">
        <v>273</v>
      </c>
      <c r="B387" s="501" t="s">
        <v>114</v>
      </c>
      <c r="C387" s="495">
        <v>300000</v>
      </c>
      <c r="D387" s="501" t="s">
        <v>216</v>
      </c>
    </row>
    <row r="388" spans="1:5" x14ac:dyDescent="0.25">
      <c r="A388" s="527">
        <v>391</v>
      </c>
      <c r="B388" s="501" t="s">
        <v>134</v>
      </c>
      <c r="C388" s="495">
        <v>1000000</v>
      </c>
      <c r="D388" s="501" t="s">
        <v>216</v>
      </c>
    </row>
    <row r="389" spans="1:5" x14ac:dyDescent="0.25">
      <c r="A389" s="527"/>
      <c r="B389" s="501"/>
      <c r="C389" s="495"/>
      <c r="D389" s="501"/>
    </row>
    <row r="390" spans="1:5" ht="24.75" customHeight="1" x14ac:dyDescent="0.25">
      <c r="A390" s="706" t="s">
        <v>130</v>
      </c>
      <c r="B390" s="707"/>
      <c r="C390" s="537">
        <f>+C391+C401</f>
        <v>124306144</v>
      </c>
      <c r="D390" s="501"/>
      <c r="E390" s="41"/>
    </row>
    <row r="391" spans="1:5" x14ac:dyDescent="0.25">
      <c r="A391" s="481"/>
      <c r="B391" s="490" t="s">
        <v>81</v>
      </c>
      <c r="C391" s="538">
        <f>SUM(C392:C399)</f>
        <v>122485444</v>
      </c>
      <c r="D391" s="501"/>
      <c r="E391" s="41"/>
    </row>
    <row r="392" spans="1:5" ht="39" x14ac:dyDescent="0.25">
      <c r="A392" s="527">
        <v>131</v>
      </c>
      <c r="B392" s="501" t="s">
        <v>135</v>
      </c>
      <c r="C392" s="495">
        <v>11233522</v>
      </c>
      <c r="D392" s="501" t="s">
        <v>402</v>
      </c>
      <c r="E392" s="41"/>
    </row>
    <row r="393" spans="1:5" ht="39" x14ac:dyDescent="0.25">
      <c r="A393" s="527">
        <v>249</v>
      </c>
      <c r="B393" s="501" t="s">
        <v>82</v>
      </c>
      <c r="C393" s="495">
        <v>23008992</v>
      </c>
      <c r="D393" s="501" t="s">
        <v>402</v>
      </c>
    </row>
    <row r="394" spans="1:5" ht="26.25" x14ac:dyDescent="0.25">
      <c r="A394" s="539">
        <v>249</v>
      </c>
      <c r="B394" s="501" t="s">
        <v>82</v>
      </c>
      <c r="C394" s="540">
        <v>4175925</v>
      </c>
      <c r="D394" s="501" t="s">
        <v>403</v>
      </c>
    </row>
    <row r="395" spans="1:5" ht="26.25" x14ac:dyDescent="0.25">
      <c r="A395" s="527">
        <v>299</v>
      </c>
      <c r="B395" s="501" t="s">
        <v>85</v>
      </c>
      <c r="C395" s="495">
        <v>16186414</v>
      </c>
      <c r="D395" s="501" t="s">
        <v>403</v>
      </c>
    </row>
    <row r="396" spans="1:5" ht="39" x14ac:dyDescent="0.25">
      <c r="A396" s="527">
        <v>362</v>
      </c>
      <c r="B396" s="501" t="s">
        <v>86</v>
      </c>
      <c r="C396" s="495">
        <f>43337891-24963970</f>
        <v>18373921</v>
      </c>
      <c r="D396" s="501" t="s">
        <v>402</v>
      </c>
    </row>
    <row r="397" spans="1:5" ht="26.25" x14ac:dyDescent="0.25">
      <c r="A397" s="527">
        <v>391</v>
      </c>
      <c r="B397" s="501" t="s">
        <v>134</v>
      </c>
      <c r="C397" s="495">
        <f>17576660-1829660+100000+824075</f>
        <v>16671075</v>
      </c>
      <c r="D397" s="501" t="s">
        <v>403</v>
      </c>
    </row>
    <row r="398" spans="1:5" ht="39" x14ac:dyDescent="0.25">
      <c r="A398" s="527">
        <v>292</v>
      </c>
      <c r="B398" s="501" t="s">
        <v>84</v>
      </c>
      <c r="C398" s="495">
        <f>23232595-397000</f>
        <v>22835595</v>
      </c>
      <c r="D398" s="501" t="s">
        <v>402</v>
      </c>
    </row>
    <row r="399" spans="1:5" ht="26.25" x14ac:dyDescent="0.25">
      <c r="A399" s="527">
        <v>539</v>
      </c>
      <c r="B399" s="501" t="s">
        <v>335</v>
      </c>
      <c r="C399" s="495">
        <v>10000000</v>
      </c>
      <c r="D399" s="501" t="s">
        <v>605</v>
      </c>
    </row>
    <row r="400" spans="1:5" x14ac:dyDescent="0.25">
      <c r="A400" s="519"/>
      <c r="B400" s="501"/>
      <c r="C400" s="537"/>
      <c r="D400" s="501"/>
    </row>
    <row r="401" spans="1:4" x14ac:dyDescent="0.25">
      <c r="A401" s="519"/>
      <c r="B401" s="490" t="s">
        <v>88</v>
      </c>
      <c r="C401" s="537">
        <f>+C402</f>
        <v>1820700</v>
      </c>
      <c r="D401" s="501"/>
    </row>
    <row r="402" spans="1:4" x14ac:dyDescent="0.25">
      <c r="A402" s="519"/>
      <c r="B402" s="490" t="s">
        <v>73</v>
      </c>
      <c r="C402" s="537">
        <f>+C403</f>
        <v>1820700</v>
      </c>
      <c r="D402" s="501"/>
    </row>
    <row r="403" spans="1:4" ht="31.5" customHeight="1" x14ac:dyDescent="0.25">
      <c r="A403" s="527"/>
      <c r="B403" s="501" t="s">
        <v>404</v>
      </c>
      <c r="C403" s="541">
        <v>1820700</v>
      </c>
      <c r="D403" s="501" t="s">
        <v>403</v>
      </c>
    </row>
    <row r="404" spans="1:4" x14ac:dyDescent="0.25">
      <c r="A404" s="519"/>
      <c r="B404" s="490"/>
      <c r="C404" s="537"/>
      <c r="D404" s="501"/>
    </row>
    <row r="405" spans="1:4" x14ac:dyDescent="0.25">
      <c r="A405" s="485" t="s">
        <v>961</v>
      </c>
      <c r="B405" s="486"/>
      <c r="C405" s="487">
        <f>+C406+C407</f>
        <v>561573659</v>
      </c>
      <c r="D405" s="501"/>
    </row>
    <row r="406" spans="1:4" x14ac:dyDescent="0.25">
      <c r="A406" s="485"/>
      <c r="B406" s="490" t="s">
        <v>66</v>
      </c>
      <c r="C406" s="487">
        <f>+C410+C414+C418+C422+C426+C430+C434+C438+C442+C452+C471+C488+C492+C496+C514+C518+C525+C529+C538+C542+C546+C550+C554+C558+C562+C566+C570+C574+C578+C582+C586+C592+C596+C604+C608+C612+C616+C624+C628+C632+C636</f>
        <v>222629652</v>
      </c>
      <c r="D406" s="501"/>
    </row>
    <row r="407" spans="1:4" x14ac:dyDescent="0.25">
      <c r="A407" s="485"/>
      <c r="B407" s="490" t="s">
        <v>94</v>
      </c>
      <c r="C407" s="487">
        <f>+C445+C456+C461+C466+C474+C479+C484+C533+C600+C619+C510+C500</f>
        <v>338944007</v>
      </c>
      <c r="D407" s="501"/>
    </row>
    <row r="408" spans="1:4" x14ac:dyDescent="0.25">
      <c r="A408" s="485"/>
      <c r="B408" s="486"/>
      <c r="C408" s="487"/>
      <c r="D408" s="501"/>
    </row>
    <row r="409" spans="1:4" x14ac:dyDescent="0.25">
      <c r="A409" s="542" t="s">
        <v>350</v>
      </c>
      <c r="B409" s="486"/>
      <c r="C409" s="487">
        <f>+C410</f>
        <v>965292</v>
      </c>
      <c r="D409" s="501"/>
    </row>
    <row r="410" spans="1:4" x14ac:dyDescent="0.25">
      <c r="A410" s="485"/>
      <c r="B410" s="490" t="s">
        <v>66</v>
      </c>
      <c r="C410" s="487">
        <f>+C411</f>
        <v>965292</v>
      </c>
      <c r="D410" s="501"/>
    </row>
    <row r="411" spans="1:4" x14ac:dyDescent="0.25">
      <c r="A411" s="543">
        <v>579</v>
      </c>
      <c r="B411" s="501" t="s">
        <v>311</v>
      </c>
      <c r="C411" s="492">
        <v>965292</v>
      </c>
      <c r="D411" s="501" t="s">
        <v>68</v>
      </c>
    </row>
    <row r="412" spans="1:4" x14ac:dyDescent="0.25">
      <c r="A412" s="543"/>
      <c r="B412" s="491"/>
      <c r="C412" s="492"/>
      <c r="D412" s="501"/>
    </row>
    <row r="413" spans="1:4" x14ac:dyDescent="0.25">
      <c r="A413" s="542" t="s">
        <v>621</v>
      </c>
      <c r="B413" s="486"/>
      <c r="C413" s="487">
        <f>+C414</f>
        <v>11590640</v>
      </c>
      <c r="D413" s="501"/>
    </row>
    <row r="414" spans="1:4" x14ac:dyDescent="0.25">
      <c r="A414" s="485"/>
      <c r="B414" s="490" t="s">
        <v>66</v>
      </c>
      <c r="C414" s="487">
        <f>+C415</f>
        <v>11590640</v>
      </c>
      <c r="D414" s="501"/>
    </row>
    <row r="415" spans="1:4" x14ac:dyDescent="0.25">
      <c r="A415" s="543">
        <v>561</v>
      </c>
      <c r="B415" s="501" t="s">
        <v>372</v>
      </c>
      <c r="C415" s="337">
        <f>22918097-11327457</f>
        <v>11590640</v>
      </c>
      <c r="D415" s="501" t="s">
        <v>68</v>
      </c>
    </row>
    <row r="416" spans="1:4" x14ac:dyDescent="0.25">
      <c r="A416" s="543"/>
      <c r="B416" s="491"/>
      <c r="C416" s="492"/>
      <c r="D416" s="501"/>
    </row>
    <row r="417" spans="1:4" x14ac:dyDescent="0.25">
      <c r="A417" s="542" t="s">
        <v>811</v>
      </c>
      <c r="B417" s="486"/>
      <c r="C417" s="487">
        <f>+C418</f>
        <v>66181</v>
      </c>
      <c r="D417" s="501"/>
    </row>
    <row r="418" spans="1:4" x14ac:dyDescent="0.25">
      <c r="A418" s="485"/>
      <c r="B418" s="490" t="s">
        <v>66</v>
      </c>
      <c r="C418" s="487">
        <f>+C419</f>
        <v>66181</v>
      </c>
      <c r="D418" s="501"/>
    </row>
    <row r="419" spans="1:4" x14ac:dyDescent="0.25">
      <c r="A419" s="543">
        <v>579</v>
      </c>
      <c r="B419" s="501" t="s">
        <v>311</v>
      </c>
      <c r="C419" s="337">
        <v>66181</v>
      </c>
      <c r="D419" s="501" t="s">
        <v>68</v>
      </c>
    </row>
    <row r="420" spans="1:4" x14ac:dyDescent="0.25">
      <c r="A420" s="543"/>
      <c r="B420" s="491"/>
      <c r="C420" s="492"/>
      <c r="D420" s="501"/>
    </row>
    <row r="421" spans="1:4" x14ac:dyDescent="0.25">
      <c r="A421" s="542" t="s">
        <v>351</v>
      </c>
      <c r="B421" s="486"/>
      <c r="C421" s="487">
        <f>+C422</f>
        <v>692346</v>
      </c>
      <c r="D421" s="501"/>
    </row>
    <row r="422" spans="1:4" x14ac:dyDescent="0.25">
      <c r="A422" s="485"/>
      <c r="B422" s="490" t="s">
        <v>66</v>
      </c>
      <c r="C422" s="487">
        <f>+C423</f>
        <v>692346</v>
      </c>
      <c r="D422" s="501"/>
    </row>
    <row r="423" spans="1:4" x14ac:dyDescent="0.25">
      <c r="A423" s="543">
        <v>579</v>
      </c>
      <c r="B423" s="501" t="s">
        <v>311</v>
      </c>
      <c r="C423" s="337">
        <v>692346</v>
      </c>
      <c r="D423" s="501" t="s">
        <v>68</v>
      </c>
    </row>
    <row r="424" spans="1:4" x14ac:dyDescent="0.25">
      <c r="A424" s="543"/>
      <c r="B424" s="491"/>
      <c r="C424" s="492"/>
      <c r="D424" s="501"/>
    </row>
    <row r="425" spans="1:4" x14ac:dyDescent="0.25">
      <c r="A425" s="542" t="s">
        <v>352</v>
      </c>
      <c r="B425" s="486"/>
      <c r="C425" s="487">
        <f>+C426</f>
        <v>59715</v>
      </c>
      <c r="D425" s="501"/>
    </row>
    <row r="426" spans="1:4" x14ac:dyDescent="0.25">
      <c r="A426" s="485"/>
      <c r="B426" s="490" t="s">
        <v>66</v>
      </c>
      <c r="C426" s="487">
        <f>+C427</f>
        <v>59715</v>
      </c>
      <c r="D426" s="501"/>
    </row>
    <row r="427" spans="1:4" x14ac:dyDescent="0.25">
      <c r="A427" s="543">
        <v>599</v>
      </c>
      <c r="B427" s="501" t="s">
        <v>342</v>
      </c>
      <c r="C427" s="337">
        <v>59715</v>
      </c>
      <c r="D427" s="501" t="s">
        <v>68</v>
      </c>
    </row>
    <row r="428" spans="1:4" x14ac:dyDescent="0.25">
      <c r="A428" s="543"/>
      <c r="B428" s="491"/>
      <c r="C428" s="492"/>
      <c r="D428" s="501"/>
    </row>
    <row r="429" spans="1:4" x14ac:dyDescent="0.25">
      <c r="A429" s="542" t="s">
        <v>353</v>
      </c>
      <c r="B429" s="486"/>
      <c r="C429" s="487">
        <f>+C430</f>
        <v>37303</v>
      </c>
      <c r="D429" s="501"/>
    </row>
    <row r="430" spans="1:4" x14ac:dyDescent="0.25">
      <c r="A430" s="485"/>
      <c r="B430" s="490" t="s">
        <v>66</v>
      </c>
      <c r="C430" s="487">
        <f>+C431</f>
        <v>37303</v>
      </c>
      <c r="D430" s="501"/>
    </row>
    <row r="431" spans="1:4" x14ac:dyDescent="0.25">
      <c r="A431" s="543">
        <v>579</v>
      </c>
      <c r="B431" s="501" t="s">
        <v>311</v>
      </c>
      <c r="C431" s="337">
        <v>37303</v>
      </c>
      <c r="D431" s="501" t="s">
        <v>68</v>
      </c>
    </row>
    <row r="432" spans="1:4" x14ac:dyDescent="0.25">
      <c r="A432" s="485"/>
      <c r="B432" s="486"/>
      <c r="C432" s="487"/>
      <c r="D432" s="501"/>
    </row>
    <row r="433" spans="1:4" ht="27" customHeight="1" x14ac:dyDescent="0.25">
      <c r="A433" s="714" t="s">
        <v>812</v>
      </c>
      <c r="B433" s="715"/>
      <c r="C433" s="487">
        <f>+C434</f>
        <v>57672</v>
      </c>
      <c r="D433" s="501"/>
    </row>
    <row r="434" spans="1:4" x14ac:dyDescent="0.25">
      <c r="A434" s="485"/>
      <c r="B434" s="490" t="s">
        <v>66</v>
      </c>
      <c r="C434" s="487">
        <f>+C435</f>
        <v>57672</v>
      </c>
      <c r="D434" s="501"/>
    </row>
    <row r="435" spans="1:4" x14ac:dyDescent="0.25">
      <c r="A435" s="543">
        <v>579</v>
      </c>
      <c r="B435" s="501" t="s">
        <v>311</v>
      </c>
      <c r="C435" s="337">
        <v>57672</v>
      </c>
      <c r="D435" s="501" t="s">
        <v>68</v>
      </c>
    </row>
    <row r="436" spans="1:4" x14ac:dyDescent="0.25">
      <c r="A436" s="543"/>
      <c r="B436" s="491"/>
      <c r="C436" s="492"/>
      <c r="D436" s="501"/>
    </row>
    <row r="437" spans="1:4" x14ac:dyDescent="0.25">
      <c r="A437" s="485" t="s">
        <v>354</v>
      </c>
      <c r="B437" s="486"/>
      <c r="C437" s="487">
        <f>+C438</f>
        <v>24536</v>
      </c>
      <c r="D437" s="501"/>
    </row>
    <row r="438" spans="1:4" x14ac:dyDescent="0.25">
      <c r="A438" s="485"/>
      <c r="B438" s="490" t="s">
        <v>66</v>
      </c>
      <c r="C438" s="487">
        <f>+C439</f>
        <v>24536</v>
      </c>
      <c r="D438" s="501"/>
    </row>
    <row r="439" spans="1:4" x14ac:dyDescent="0.25">
      <c r="A439" s="543">
        <v>579</v>
      </c>
      <c r="B439" s="501" t="s">
        <v>311</v>
      </c>
      <c r="C439" s="337">
        <v>24536</v>
      </c>
      <c r="D439" s="501" t="s">
        <v>68</v>
      </c>
    </row>
    <row r="440" spans="1:4" x14ac:dyDescent="0.25">
      <c r="A440" s="485"/>
      <c r="B440" s="486"/>
      <c r="C440" s="487"/>
      <c r="D440" s="501"/>
    </row>
    <row r="441" spans="1:4" ht="31.5" customHeight="1" x14ac:dyDescent="0.25">
      <c r="A441" s="714" t="s">
        <v>231</v>
      </c>
      <c r="B441" s="715"/>
      <c r="C441" s="487">
        <f>+C442+C445</f>
        <v>13434026</v>
      </c>
      <c r="D441" s="501"/>
    </row>
    <row r="442" spans="1:4" x14ac:dyDescent="0.25">
      <c r="A442" s="485"/>
      <c r="B442" s="490" t="s">
        <v>66</v>
      </c>
      <c r="C442" s="487">
        <f>+C443</f>
        <v>2764026</v>
      </c>
      <c r="D442" s="501"/>
    </row>
    <row r="443" spans="1:4" x14ac:dyDescent="0.25">
      <c r="A443" s="489">
        <v>525</v>
      </c>
      <c r="B443" s="501" t="s">
        <v>593</v>
      </c>
      <c r="C443" s="492">
        <v>2764026</v>
      </c>
      <c r="D443" s="501" t="s">
        <v>68</v>
      </c>
    </row>
    <row r="444" spans="1:4" x14ac:dyDescent="0.25">
      <c r="A444" s="489"/>
      <c r="B444" s="501"/>
      <c r="C444" s="487"/>
      <c r="D444" s="501"/>
    </row>
    <row r="445" spans="1:4" x14ac:dyDescent="0.25">
      <c r="A445" s="485"/>
      <c r="B445" s="490" t="s">
        <v>94</v>
      </c>
      <c r="C445" s="487">
        <f>+C446</f>
        <v>10670000</v>
      </c>
      <c r="D445" s="501"/>
    </row>
    <row r="446" spans="1:4" x14ac:dyDescent="0.25">
      <c r="A446" s="485"/>
      <c r="B446" s="490" t="s">
        <v>73</v>
      </c>
      <c r="C446" s="487">
        <f>SUM(C447:C449)</f>
        <v>10670000</v>
      </c>
      <c r="D446" s="501"/>
    </row>
    <row r="447" spans="1:4" x14ac:dyDescent="0.25">
      <c r="A447" s="485"/>
      <c r="B447" s="501" t="s">
        <v>233</v>
      </c>
      <c r="C447" s="492">
        <v>1524286</v>
      </c>
      <c r="D447" s="501" t="s">
        <v>68</v>
      </c>
    </row>
    <row r="448" spans="1:4" ht="26.25" x14ac:dyDescent="0.25">
      <c r="A448" s="485"/>
      <c r="B448" s="501" t="s">
        <v>346</v>
      </c>
      <c r="C448" s="492">
        <v>4878000</v>
      </c>
      <c r="D448" s="501" t="s">
        <v>68</v>
      </c>
    </row>
    <row r="449" spans="1:4" x14ac:dyDescent="0.25">
      <c r="A449" s="485"/>
      <c r="B449" s="501" t="s">
        <v>232</v>
      </c>
      <c r="C449" s="492">
        <v>4267714</v>
      </c>
      <c r="D449" s="501" t="s">
        <v>68</v>
      </c>
    </row>
    <row r="450" spans="1:4" x14ac:dyDescent="0.25">
      <c r="A450" s="544"/>
      <c r="B450" s="545"/>
      <c r="C450" s="546"/>
      <c r="D450" s="501"/>
    </row>
    <row r="451" spans="1:4" x14ac:dyDescent="0.25">
      <c r="A451" s="542" t="s">
        <v>339</v>
      </c>
      <c r="B451" s="490"/>
      <c r="C451" s="487">
        <f>+C452</f>
        <v>411183</v>
      </c>
      <c r="D451" s="501"/>
    </row>
    <row r="452" spans="1:4" x14ac:dyDescent="0.25">
      <c r="A452" s="485"/>
      <c r="B452" s="490" t="s">
        <v>66</v>
      </c>
      <c r="C452" s="487">
        <f>SUM(C453:C453)</f>
        <v>411183</v>
      </c>
      <c r="D452" s="501"/>
    </row>
    <row r="453" spans="1:4" x14ac:dyDescent="0.25">
      <c r="A453" s="489">
        <v>581</v>
      </c>
      <c r="B453" s="501" t="s">
        <v>140</v>
      </c>
      <c r="C453" s="492">
        <v>411183</v>
      </c>
      <c r="D453" s="501" t="s">
        <v>68</v>
      </c>
    </row>
    <row r="454" spans="1:4" x14ac:dyDescent="0.25">
      <c r="A454" s="489"/>
      <c r="B454" s="491"/>
      <c r="C454" s="492"/>
      <c r="D454" s="501"/>
    </row>
    <row r="455" spans="1:4" x14ac:dyDescent="0.25">
      <c r="A455" s="542" t="s">
        <v>355</v>
      </c>
      <c r="B455" s="491"/>
      <c r="C455" s="487">
        <f>+C456</f>
        <v>23226618</v>
      </c>
      <c r="D455" s="501"/>
    </row>
    <row r="456" spans="1:4" x14ac:dyDescent="0.25">
      <c r="A456" s="542"/>
      <c r="B456" s="490" t="s">
        <v>94</v>
      </c>
      <c r="C456" s="487">
        <f>+C457</f>
        <v>23226618</v>
      </c>
      <c r="D456" s="501"/>
    </row>
    <row r="457" spans="1:4" x14ac:dyDescent="0.25">
      <c r="A457" s="542"/>
      <c r="B457" s="490" t="s">
        <v>125</v>
      </c>
      <c r="C457" s="487">
        <f>+C458</f>
        <v>23226618</v>
      </c>
      <c r="D457" s="501"/>
    </row>
    <row r="458" spans="1:4" x14ac:dyDescent="0.25">
      <c r="A458" s="489">
        <v>679</v>
      </c>
      <c r="B458" s="501" t="s">
        <v>349</v>
      </c>
      <c r="C458" s="492">
        <v>23226618</v>
      </c>
      <c r="D458" s="501" t="s">
        <v>68</v>
      </c>
    </row>
    <row r="459" spans="1:4" x14ac:dyDescent="0.25">
      <c r="A459" s="489"/>
      <c r="B459" s="491"/>
      <c r="C459" s="492"/>
      <c r="D459" s="501"/>
    </row>
    <row r="460" spans="1:4" x14ac:dyDescent="0.25">
      <c r="A460" s="542" t="s">
        <v>356</v>
      </c>
      <c r="B460" s="491"/>
      <c r="C460" s="487">
        <f>+C461</f>
        <v>6695079</v>
      </c>
      <c r="D460" s="501"/>
    </row>
    <row r="461" spans="1:4" x14ac:dyDescent="0.25">
      <c r="A461" s="542"/>
      <c r="B461" s="490" t="s">
        <v>94</v>
      </c>
      <c r="C461" s="487">
        <f>+C462</f>
        <v>6695079</v>
      </c>
      <c r="D461" s="501"/>
    </row>
    <row r="462" spans="1:4" x14ac:dyDescent="0.25">
      <c r="A462" s="542"/>
      <c r="B462" s="490" t="s">
        <v>125</v>
      </c>
      <c r="C462" s="487">
        <f>+C463</f>
        <v>6695079</v>
      </c>
      <c r="D462" s="501"/>
    </row>
    <row r="463" spans="1:4" x14ac:dyDescent="0.25">
      <c r="A463" s="489">
        <v>679</v>
      </c>
      <c r="B463" s="501" t="s">
        <v>349</v>
      </c>
      <c r="C463" s="492">
        <v>6695079</v>
      </c>
      <c r="D463" s="501" t="s">
        <v>68</v>
      </c>
    </row>
    <row r="464" spans="1:4" x14ac:dyDescent="0.25">
      <c r="A464" s="489"/>
      <c r="B464" s="491"/>
      <c r="C464" s="492"/>
      <c r="D464" s="501"/>
    </row>
    <row r="465" spans="1:5" x14ac:dyDescent="0.25">
      <c r="A465" s="542" t="s">
        <v>357</v>
      </c>
      <c r="B465" s="491"/>
      <c r="C465" s="487">
        <f>+C466</f>
        <v>18533583</v>
      </c>
      <c r="D465" s="501"/>
    </row>
    <row r="466" spans="1:5" x14ac:dyDescent="0.25">
      <c r="A466" s="542"/>
      <c r="B466" s="490" t="s">
        <v>94</v>
      </c>
      <c r="C466" s="487">
        <f>+C467</f>
        <v>18533583</v>
      </c>
      <c r="D466" s="501"/>
    </row>
    <row r="467" spans="1:5" x14ac:dyDescent="0.25">
      <c r="A467" s="542"/>
      <c r="B467" s="490" t="s">
        <v>73</v>
      </c>
      <c r="C467" s="487">
        <f>+C468</f>
        <v>18533583</v>
      </c>
      <c r="D467" s="501"/>
    </row>
    <row r="468" spans="1:5" ht="26.25" x14ac:dyDescent="0.25">
      <c r="A468" s="489"/>
      <c r="B468" s="501" t="s">
        <v>626</v>
      </c>
      <c r="C468" s="492">
        <v>18533583</v>
      </c>
      <c r="D468" s="501" t="s">
        <v>68</v>
      </c>
    </row>
    <row r="469" spans="1:5" x14ac:dyDescent="0.25">
      <c r="A469" s="489"/>
      <c r="B469" s="491"/>
      <c r="C469" s="492"/>
      <c r="D469" s="501"/>
    </row>
    <row r="470" spans="1:5" x14ac:dyDescent="0.25">
      <c r="A470" s="714" t="s">
        <v>960</v>
      </c>
      <c r="B470" s="715"/>
      <c r="C470" s="487">
        <f>+C471+C474</f>
        <v>11847660</v>
      </c>
      <c r="D470" s="501"/>
    </row>
    <row r="471" spans="1:5" x14ac:dyDescent="0.25">
      <c r="A471" s="542"/>
      <c r="B471" s="490" t="s">
        <v>66</v>
      </c>
      <c r="C471" s="487">
        <f>+C472</f>
        <v>2904000</v>
      </c>
      <c r="D471" s="501"/>
    </row>
    <row r="472" spans="1:5" ht="26.25" x14ac:dyDescent="0.25">
      <c r="A472" s="489">
        <v>559</v>
      </c>
      <c r="B472" s="501" t="s">
        <v>827</v>
      </c>
      <c r="C472" s="492">
        <v>2904000</v>
      </c>
      <c r="D472" s="501" t="s">
        <v>68</v>
      </c>
    </row>
    <row r="473" spans="1:5" x14ac:dyDescent="0.25">
      <c r="A473" s="489"/>
      <c r="B473" s="491"/>
      <c r="C473" s="492"/>
      <c r="D473" s="501"/>
    </row>
    <row r="474" spans="1:5" x14ac:dyDescent="0.25">
      <c r="A474" s="489"/>
      <c r="B474" s="490" t="s">
        <v>94</v>
      </c>
      <c r="C474" s="487">
        <f>+C475</f>
        <v>8943660</v>
      </c>
      <c r="D474" s="501"/>
    </row>
    <row r="475" spans="1:5" x14ac:dyDescent="0.25">
      <c r="A475" s="489"/>
      <c r="B475" s="490" t="s">
        <v>73</v>
      </c>
      <c r="C475" s="487">
        <f>+C476</f>
        <v>8943660</v>
      </c>
      <c r="D475" s="501"/>
      <c r="E475" s="39"/>
    </row>
    <row r="476" spans="1:5" ht="39" x14ac:dyDescent="0.25">
      <c r="A476" s="489"/>
      <c r="B476" s="501" t="s">
        <v>624</v>
      </c>
      <c r="C476" s="495">
        <v>8943660</v>
      </c>
      <c r="D476" s="501" t="s">
        <v>68</v>
      </c>
      <c r="E476" s="39"/>
    </row>
    <row r="477" spans="1:5" x14ac:dyDescent="0.25">
      <c r="A477" s="489"/>
      <c r="B477" s="491"/>
      <c r="C477" s="492"/>
      <c r="D477" s="501"/>
    </row>
    <row r="478" spans="1:5" x14ac:dyDescent="0.25">
      <c r="A478" s="714" t="s">
        <v>959</v>
      </c>
      <c r="B478" s="715"/>
      <c r="C478" s="487">
        <f>+C479</f>
        <v>19755000</v>
      </c>
      <c r="D478" s="501"/>
    </row>
    <row r="479" spans="1:5" x14ac:dyDescent="0.25">
      <c r="A479" s="542"/>
      <c r="B479" s="490" t="s">
        <v>94</v>
      </c>
      <c r="C479" s="487">
        <f>+C480</f>
        <v>19755000</v>
      </c>
      <c r="D479" s="501"/>
    </row>
    <row r="480" spans="1:5" x14ac:dyDescent="0.25">
      <c r="A480" s="542"/>
      <c r="B480" s="490" t="s">
        <v>73</v>
      </c>
      <c r="C480" s="487">
        <f>+C481</f>
        <v>19755000</v>
      </c>
      <c r="D480" s="501"/>
    </row>
    <row r="481" spans="1:4" ht="26.25" x14ac:dyDescent="0.25">
      <c r="A481" s="489"/>
      <c r="B481" s="501" t="s">
        <v>358</v>
      </c>
      <c r="C481" s="492">
        <v>19755000</v>
      </c>
      <c r="D481" s="501" t="s">
        <v>75</v>
      </c>
    </row>
    <row r="482" spans="1:4" x14ac:dyDescent="0.25">
      <c r="A482" s="489"/>
      <c r="B482" s="491"/>
      <c r="C482" s="492"/>
      <c r="D482" s="501"/>
    </row>
    <row r="483" spans="1:4" x14ac:dyDescent="0.25">
      <c r="A483" s="542" t="s">
        <v>594</v>
      </c>
      <c r="B483" s="491"/>
      <c r="C483" s="487">
        <f>+C484</f>
        <v>15000000</v>
      </c>
      <c r="D483" s="501"/>
    </row>
    <row r="484" spans="1:4" x14ac:dyDescent="0.25">
      <c r="A484" s="489"/>
      <c r="B484" s="490" t="s">
        <v>94</v>
      </c>
      <c r="C484" s="487">
        <f>+C485</f>
        <v>15000000</v>
      </c>
      <c r="D484" s="501"/>
    </row>
    <row r="485" spans="1:4" x14ac:dyDescent="0.25">
      <c r="A485" s="489">
        <v>672</v>
      </c>
      <c r="B485" s="501" t="s">
        <v>349</v>
      </c>
      <c r="C485" s="492">
        <v>15000000</v>
      </c>
      <c r="D485" s="501" t="s">
        <v>359</v>
      </c>
    </row>
    <row r="486" spans="1:4" x14ac:dyDescent="0.25">
      <c r="A486" s="489"/>
      <c r="B486" s="491"/>
      <c r="C486" s="492"/>
      <c r="D486" s="501"/>
    </row>
    <row r="487" spans="1:4" x14ac:dyDescent="0.25">
      <c r="A487" s="542" t="s">
        <v>360</v>
      </c>
      <c r="B487" s="491"/>
      <c r="C487" s="487">
        <f>+C488</f>
        <v>5000000</v>
      </c>
      <c r="D487" s="501"/>
    </row>
    <row r="488" spans="1:4" x14ac:dyDescent="0.25">
      <c r="A488" s="489"/>
      <c r="B488" s="490" t="s">
        <v>66</v>
      </c>
      <c r="C488" s="487">
        <f>+C489</f>
        <v>5000000</v>
      </c>
      <c r="D488" s="501"/>
    </row>
    <row r="489" spans="1:4" ht="26.25" x14ac:dyDescent="0.25">
      <c r="A489" s="543">
        <v>579</v>
      </c>
      <c r="B489" s="501" t="s">
        <v>311</v>
      </c>
      <c r="C489" s="492">
        <v>5000000</v>
      </c>
      <c r="D489" s="501" t="s">
        <v>112</v>
      </c>
    </row>
    <row r="490" spans="1:4" x14ac:dyDescent="0.25">
      <c r="A490" s="489"/>
      <c r="B490" s="491"/>
      <c r="C490" s="492"/>
      <c r="D490" s="501"/>
    </row>
    <row r="491" spans="1:4" x14ac:dyDescent="0.25">
      <c r="A491" s="542" t="s">
        <v>361</v>
      </c>
      <c r="B491" s="491"/>
      <c r="C491" s="487">
        <f>+C492</f>
        <v>4000000</v>
      </c>
      <c r="D491" s="501"/>
    </row>
    <row r="492" spans="1:4" x14ac:dyDescent="0.25">
      <c r="A492" s="489"/>
      <c r="B492" s="490" t="s">
        <v>66</v>
      </c>
      <c r="C492" s="487">
        <f>+C493</f>
        <v>4000000</v>
      </c>
      <c r="D492" s="501"/>
    </row>
    <row r="493" spans="1:4" ht="26.25" x14ac:dyDescent="0.25">
      <c r="A493" s="543">
        <v>579</v>
      </c>
      <c r="B493" s="501" t="s">
        <v>311</v>
      </c>
      <c r="C493" s="492">
        <v>4000000</v>
      </c>
      <c r="D493" s="501" t="s">
        <v>112</v>
      </c>
    </row>
    <row r="494" spans="1:4" x14ac:dyDescent="0.25">
      <c r="A494" s="489"/>
      <c r="B494" s="491"/>
      <c r="C494" s="492"/>
      <c r="D494" s="501"/>
    </row>
    <row r="495" spans="1:4" ht="15" customHeight="1" x14ac:dyDescent="0.25">
      <c r="A495" s="542" t="s">
        <v>340</v>
      </c>
      <c r="B495" s="490"/>
      <c r="C495" s="487">
        <f>+C496</f>
        <v>10000000</v>
      </c>
      <c r="D495" s="501"/>
    </row>
    <row r="496" spans="1:4" x14ac:dyDescent="0.25">
      <c r="A496" s="485"/>
      <c r="B496" s="490" t="s">
        <v>341</v>
      </c>
      <c r="C496" s="487">
        <f>+C497</f>
        <v>10000000</v>
      </c>
      <c r="D496" s="501"/>
    </row>
    <row r="497" spans="1:5" x14ac:dyDescent="0.25">
      <c r="A497" s="489">
        <v>599</v>
      </c>
      <c r="B497" s="501" t="s">
        <v>342</v>
      </c>
      <c r="C497" s="492">
        <v>10000000</v>
      </c>
      <c r="D497" s="501" t="s">
        <v>68</v>
      </c>
    </row>
    <row r="498" spans="1:5" x14ac:dyDescent="0.25">
      <c r="A498" s="489"/>
      <c r="B498" s="491"/>
      <c r="C498" s="492"/>
      <c r="D498" s="501"/>
    </row>
    <row r="499" spans="1:5" x14ac:dyDescent="0.25">
      <c r="A499" s="542" t="s">
        <v>383</v>
      </c>
      <c r="B499" s="491"/>
      <c r="C499" s="487">
        <f>+C500</f>
        <v>41693854</v>
      </c>
      <c r="D499" s="501"/>
      <c r="E499" s="39"/>
    </row>
    <row r="500" spans="1:5" x14ac:dyDescent="0.25">
      <c r="A500" s="489"/>
      <c r="B500" s="490" t="s">
        <v>94</v>
      </c>
      <c r="C500" s="487">
        <f>+C501</f>
        <v>41693854</v>
      </c>
      <c r="D500" s="501"/>
    </row>
    <row r="501" spans="1:5" x14ac:dyDescent="0.25">
      <c r="A501" s="489"/>
      <c r="B501" s="490" t="s">
        <v>73</v>
      </c>
      <c r="C501" s="487">
        <f>SUM(C502:C507)</f>
        <v>41693854</v>
      </c>
      <c r="D501" s="501"/>
      <c r="E501" s="39"/>
    </row>
    <row r="502" spans="1:5" x14ac:dyDescent="0.25">
      <c r="A502" s="543"/>
      <c r="B502" s="501" t="s">
        <v>614</v>
      </c>
      <c r="C502" s="492">
        <v>2200000</v>
      </c>
      <c r="D502" s="501" t="s">
        <v>68</v>
      </c>
      <c r="E502" s="39"/>
    </row>
    <row r="503" spans="1:5" x14ac:dyDescent="0.25">
      <c r="A503" s="543"/>
      <c r="B503" s="501" t="s">
        <v>615</v>
      </c>
      <c r="C503" s="492">
        <v>1930000</v>
      </c>
      <c r="D503" s="501" t="s">
        <v>68</v>
      </c>
    </row>
    <row r="504" spans="1:5" ht="26.25" x14ac:dyDescent="0.25">
      <c r="A504" s="543"/>
      <c r="B504" s="501" t="s">
        <v>616</v>
      </c>
      <c r="C504" s="492">
        <v>739000</v>
      </c>
      <c r="D504" s="501" t="s">
        <v>75</v>
      </c>
    </row>
    <row r="505" spans="1:5" ht="26.25" x14ac:dyDescent="0.25">
      <c r="A505" s="543"/>
      <c r="B505" s="501" t="s">
        <v>617</v>
      </c>
      <c r="C505" s="492">
        <v>2090000</v>
      </c>
      <c r="D505" s="501" t="s">
        <v>75</v>
      </c>
    </row>
    <row r="506" spans="1:5" ht="26.25" x14ac:dyDescent="0.25">
      <c r="A506" s="543"/>
      <c r="B506" s="501" t="s">
        <v>618</v>
      </c>
      <c r="C506" s="492">
        <v>1041000</v>
      </c>
      <c r="D506" s="501" t="s">
        <v>68</v>
      </c>
    </row>
    <row r="507" spans="1:5" x14ac:dyDescent="0.25">
      <c r="A507" s="543"/>
      <c r="B507" s="501" t="s">
        <v>619</v>
      </c>
      <c r="C507" s="492">
        <v>33693854</v>
      </c>
      <c r="D507" s="501" t="s">
        <v>309</v>
      </c>
    </row>
    <row r="508" spans="1:5" x14ac:dyDescent="0.25">
      <c r="A508" s="485"/>
      <c r="B508" s="491"/>
      <c r="C508" s="492"/>
      <c r="D508" s="501"/>
    </row>
    <row r="509" spans="1:5" x14ac:dyDescent="0.25">
      <c r="A509" s="542" t="s">
        <v>595</v>
      </c>
      <c r="B509" s="491"/>
      <c r="C509" s="487">
        <f>+C510</f>
        <v>500000</v>
      </c>
      <c r="D509" s="501"/>
    </row>
    <row r="510" spans="1:5" x14ac:dyDescent="0.25">
      <c r="A510" s="489"/>
      <c r="B510" s="490" t="s">
        <v>94</v>
      </c>
      <c r="C510" s="487">
        <f>+C511</f>
        <v>500000</v>
      </c>
      <c r="D510" s="501"/>
    </row>
    <row r="511" spans="1:5" x14ac:dyDescent="0.25">
      <c r="A511" s="543">
        <v>679</v>
      </c>
      <c r="B511" s="491" t="s">
        <v>349</v>
      </c>
      <c r="C511" s="492">
        <v>500000</v>
      </c>
      <c r="D511" s="501" t="s">
        <v>68</v>
      </c>
    </row>
    <row r="512" spans="1:5" x14ac:dyDescent="0.25">
      <c r="A512" s="485"/>
      <c r="B512" s="491"/>
      <c r="C512" s="492"/>
      <c r="D512" s="501"/>
    </row>
    <row r="513" spans="1:4" x14ac:dyDescent="0.25">
      <c r="A513" s="542" t="s">
        <v>362</v>
      </c>
      <c r="B513" s="491"/>
      <c r="C513" s="487">
        <f>+C514</f>
        <v>28565</v>
      </c>
      <c r="D513" s="501"/>
    </row>
    <row r="514" spans="1:4" x14ac:dyDescent="0.25">
      <c r="A514" s="489"/>
      <c r="B514" s="490" t="s">
        <v>66</v>
      </c>
      <c r="C514" s="487">
        <f>+C515</f>
        <v>28565</v>
      </c>
      <c r="D514" s="501"/>
    </row>
    <row r="515" spans="1:4" x14ac:dyDescent="0.25">
      <c r="A515" s="543">
        <v>579</v>
      </c>
      <c r="B515" s="501" t="s">
        <v>311</v>
      </c>
      <c r="C515" s="492">
        <v>28565</v>
      </c>
      <c r="D515" s="501" t="s">
        <v>68</v>
      </c>
    </row>
    <row r="516" spans="1:4" x14ac:dyDescent="0.25">
      <c r="A516" s="485"/>
      <c r="B516" s="491"/>
      <c r="C516" s="492"/>
      <c r="D516" s="501"/>
    </row>
    <row r="517" spans="1:4" x14ac:dyDescent="0.25">
      <c r="A517" s="542" t="s">
        <v>363</v>
      </c>
      <c r="B517" s="491"/>
      <c r="C517" s="487">
        <f>+C518</f>
        <v>11492892</v>
      </c>
      <c r="D517" s="501"/>
    </row>
    <row r="518" spans="1:4" x14ac:dyDescent="0.25">
      <c r="A518" s="489"/>
      <c r="B518" s="490" t="s">
        <v>66</v>
      </c>
      <c r="C518" s="487">
        <f>SUM(C519:C522)</f>
        <v>11492892</v>
      </c>
      <c r="D518" s="501"/>
    </row>
    <row r="519" spans="1:4" x14ac:dyDescent="0.25">
      <c r="A519" s="543">
        <v>579</v>
      </c>
      <c r="B519" s="501" t="s">
        <v>311</v>
      </c>
      <c r="C519" s="492">
        <v>992892</v>
      </c>
      <c r="D519" s="501" t="s">
        <v>68</v>
      </c>
    </row>
    <row r="520" spans="1:4" x14ac:dyDescent="0.25">
      <c r="A520" s="543">
        <v>579</v>
      </c>
      <c r="B520" s="501" t="s">
        <v>311</v>
      </c>
      <c r="C520" s="492">
        <v>6500000</v>
      </c>
      <c r="D520" s="501" t="s">
        <v>79</v>
      </c>
    </row>
    <row r="521" spans="1:4" x14ac:dyDescent="0.25">
      <c r="A521" s="543">
        <v>579</v>
      </c>
      <c r="B521" s="501" t="s">
        <v>311</v>
      </c>
      <c r="C521" s="492">
        <v>2000000</v>
      </c>
      <c r="D521" s="501" t="s">
        <v>80</v>
      </c>
    </row>
    <row r="522" spans="1:4" x14ac:dyDescent="0.25">
      <c r="A522" s="543">
        <v>579</v>
      </c>
      <c r="B522" s="501" t="s">
        <v>311</v>
      </c>
      <c r="C522" s="492">
        <v>2000000</v>
      </c>
      <c r="D522" s="501" t="s">
        <v>359</v>
      </c>
    </row>
    <row r="523" spans="1:4" x14ac:dyDescent="0.25">
      <c r="A523" s="543"/>
      <c r="B523" s="501"/>
      <c r="C523" s="492"/>
      <c r="D523" s="501"/>
    </row>
    <row r="524" spans="1:4" x14ac:dyDescent="0.25">
      <c r="A524" s="542" t="s">
        <v>365</v>
      </c>
      <c r="B524" s="491"/>
      <c r="C524" s="487">
        <f>+C525</f>
        <v>145980</v>
      </c>
      <c r="D524" s="501"/>
    </row>
    <row r="525" spans="1:4" x14ac:dyDescent="0.25">
      <c r="A525" s="489"/>
      <c r="B525" s="490" t="s">
        <v>66</v>
      </c>
      <c r="C525" s="487">
        <f>+C526</f>
        <v>145980</v>
      </c>
      <c r="D525" s="501"/>
    </row>
    <row r="526" spans="1:4" x14ac:dyDescent="0.25">
      <c r="A526" s="543">
        <v>579</v>
      </c>
      <c r="B526" s="501" t="s">
        <v>311</v>
      </c>
      <c r="C526" s="492">
        <v>145980</v>
      </c>
      <c r="D526" s="501" t="s">
        <v>68</v>
      </c>
    </row>
    <row r="527" spans="1:4" x14ac:dyDescent="0.25">
      <c r="A527" s="543"/>
      <c r="B527" s="491"/>
      <c r="C527" s="492"/>
      <c r="D527" s="501"/>
    </row>
    <row r="528" spans="1:4" x14ac:dyDescent="0.25">
      <c r="A528" s="542" t="s">
        <v>366</v>
      </c>
      <c r="B528" s="491"/>
      <c r="C528" s="487">
        <f>+C529</f>
        <v>1271548</v>
      </c>
      <c r="D528" s="501"/>
    </row>
    <row r="529" spans="1:5" x14ac:dyDescent="0.25">
      <c r="A529" s="489"/>
      <c r="B529" s="490" t="s">
        <v>66</v>
      </c>
      <c r="C529" s="487">
        <f>+C530</f>
        <v>1271548</v>
      </c>
      <c r="D529" s="501"/>
    </row>
    <row r="530" spans="1:5" x14ac:dyDescent="0.25">
      <c r="A530" s="543">
        <v>579</v>
      </c>
      <c r="B530" s="501" t="s">
        <v>311</v>
      </c>
      <c r="C530" s="492">
        <v>1271548</v>
      </c>
      <c r="D530" s="501" t="s">
        <v>68</v>
      </c>
    </row>
    <row r="531" spans="1:5" x14ac:dyDescent="0.25">
      <c r="A531" s="543"/>
      <c r="B531" s="491"/>
      <c r="C531" s="492"/>
      <c r="D531" s="501"/>
    </row>
    <row r="532" spans="1:5" x14ac:dyDescent="0.25">
      <c r="A532" s="542" t="s">
        <v>368</v>
      </c>
      <c r="B532" s="491"/>
      <c r="C532" s="487">
        <f>+C533</f>
        <v>30118004</v>
      </c>
      <c r="D532" s="501"/>
    </row>
    <row r="533" spans="1:5" x14ac:dyDescent="0.25">
      <c r="A533" s="489"/>
      <c r="B533" s="490" t="s">
        <v>94</v>
      </c>
      <c r="C533" s="487">
        <f>+C535</f>
        <v>30118004</v>
      </c>
      <c r="D533" s="501"/>
    </row>
    <row r="534" spans="1:5" x14ac:dyDescent="0.25">
      <c r="A534" s="489"/>
      <c r="B534" s="490" t="s">
        <v>73</v>
      </c>
      <c r="C534" s="487">
        <f>+C535</f>
        <v>30118004</v>
      </c>
      <c r="D534" s="501"/>
      <c r="E534" s="39"/>
    </row>
    <row r="535" spans="1:5" ht="26.25" x14ac:dyDescent="0.25">
      <c r="A535" s="543"/>
      <c r="B535" s="501" t="s">
        <v>596</v>
      </c>
      <c r="C535" s="495">
        <v>30118004</v>
      </c>
      <c r="D535" s="501" t="s">
        <v>597</v>
      </c>
      <c r="E535" s="39"/>
    </row>
    <row r="536" spans="1:5" x14ac:dyDescent="0.25">
      <c r="A536" s="543"/>
      <c r="B536" s="501"/>
      <c r="C536" s="495"/>
      <c r="D536" s="501"/>
    </row>
    <row r="537" spans="1:5" x14ac:dyDescent="0.25">
      <c r="A537" s="542" t="s">
        <v>598</v>
      </c>
      <c r="B537" s="491"/>
      <c r="C537" s="487">
        <f>+C538</f>
        <v>163821</v>
      </c>
      <c r="D537" s="501"/>
    </row>
    <row r="538" spans="1:5" x14ac:dyDescent="0.25">
      <c r="A538" s="489"/>
      <c r="B538" s="490" t="s">
        <v>66</v>
      </c>
      <c r="C538" s="487">
        <f>+C539</f>
        <v>163821</v>
      </c>
      <c r="D538" s="501"/>
    </row>
    <row r="539" spans="1:5" x14ac:dyDescent="0.25">
      <c r="A539" s="543">
        <v>579</v>
      </c>
      <c r="B539" s="501" t="s">
        <v>311</v>
      </c>
      <c r="C539" s="495">
        <v>163821</v>
      </c>
      <c r="D539" s="501" t="s">
        <v>68</v>
      </c>
    </row>
    <row r="540" spans="1:5" x14ac:dyDescent="0.25">
      <c r="A540" s="543"/>
      <c r="B540" s="491"/>
      <c r="C540" s="495"/>
      <c r="D540" s="501"/>
    </row>
    <row r="541" spans="1:5" x14ac:dyDescent="0.25">
      <c r="A541" s="542" t="s">
        <v>599</v>
      </c>
      <c r="B541" s="491"/>
      <c r="C541" s="487">
        <f>+C542</f>
        <v>184612</v>
      </c>
      <c r="D541" s="501"/>
    </row>
    <row r="542" spans="1:5" x14ac:dyDescent="0.25">
      <c r="A542" s="489"/>
      <c r="B542" s="490" t="s">
        <v>66</v>
      </c>
      <c r="C542" s="487">
        <f>+C543</f>
        <v>184612</v>
      </c>
      <c r="D542" s="501"/>
    </row>
    <row r="543" spans="1:5" x14ac:dyDescent="0.25">
      <c r="A543" s="543">
        <v>579</v>
      </c>
      <c r="B543" s="501" t="s">
        <v>311</v>
      </c>
      <c r="C543" s="495">
        <v>184612</v>
      </c>
      <c r="D543" s="501" t="s">
        <v>68</v>
      </c>
    </row>
    <row r="544" spans="1:5" x14ac:dyDescent="0.25">
      <c r="A544" s="543"/>
      <c r="B544" s="491"/>
      <c r="C544" s="495"/>
      <c r="D544" s="501"/>
    </row>
    <row r="545" spans="1:4" x14ac:dyDescent="0.25">
      <c r="A545" s="542" t="s">
        <v>600</v>
      </c>
      <c r="B545" s="491"/>
      <c r="C545" s="487">
        <f>+C546</f>
        <v>228622</v>
      </c>
      <c r="D545" s="501"/>
    </row>
    <row r="546" spans="1:4" x14ac:dyDescent="0.25">
      <c r="A546" s="489"/>
      <c r="B546" s="490" t="s">
        <v>66</v>
      </c>
      <c r="C546" s="487">
        <f>+C547</f>
        <v>228622</v>
      </c>
      <c r="D546" s="501"/>
    </row>
    <row r="547" spans="1:4" x14ac:dyDescent="0.25">
      <c r="A547" s="543">
        <v>579</v>
      </c>
      <c r="B547" s="501" t="s">
        <v>311</v>
      </c>
      <c r="C547" s="495">
        <v>228622</v>
      </c>
      <c r="D547" s="501" t="s">
        <v>68</v>
      </c>
    </row>
    <row r="548" spans="1:4" x14ac:dyDescent="0.25">
      <c r="A548" s="543"/>
      <c r="B548" s="491"/>
      <c r="C548" s="495"/>
      <c r="D548" s="501"/>
    </row>
    <row r="549" spans="1:4" x14ac:dyDescent="0.25">
      <c r="A549" s="542" t="s">
        <v>601</v>
      </c>
      <c r="B549" s="491"/>
      <c r="C549" s="487">
        <f>+C550</f>
        <v>1533378</v>
      </c>
      <c r="D549" s="501"/>
    </row>
    <row r="550" spans="1:4" x14ac:dyDescent="0.25">
      <c r="A550" s="489"/>
      <c r="B550" s="490" t="s">
        <v>66</v>
      </c>
      <c r="C550" s="487">
        <f>+C551</f>
        <v>1533378</v>
      </c>
      <c r="D550" s="501"/>
    </row>
    <row r="551" spans="1:4" x14ac:dyDescent="0.25">
      <c r="A551" s="543">
        <v>579</v>
      </c>
      <c r="B551" s="501" t="s">
        <v>311</v>
      </c>
      <c r="C551" s="495">
        <v>1533378</v>
      </c>
      <c r="D551" s="501" t="s">
        <v>68</v>
      </c>
    </row>
    <row r="552" spans="1:4" x14ac:dyDescent="0.25">
      <c r="A552" s="543"/>
      <c r="B552" s="491"/>
      <c r="C552" s="495"/>
      <c r="D552" s="501"/>
    </row>
    <row r="553" spans="1:4" x14ac:dyDescent="0.25">
      <c r="A553" s="542" t="s">
        <v>602</v>
      </c>
      <c r="B553" s="491"/>
      <c r="C553" s="487">
        <f>+C554</f>
        <v>1498939</v>
      </c>
      <c r="D553" s="501"/>
    </row>
    <row r="554" spans="1:4" x14ac:dyDescent="0.25">
      <c r="A554" s="489"/>
      <c r="B554" s="490" t="s">
        <v>66</v>
      </c>
      <c r="C554" s="487">
        <f>+C555</f>
        <v>1498939</v>
      </c>
      <c r="D554" s="501"/>
    </row>
    <row r="555" spans="1:4" x14ac:dyDescent="0.25">
      <c r="A555" s="543">
        <v>579</v>
      </c>
      <c r="B555" s="501" t="s">
        <v>311</v>
      </c>
      <c r="C555" s="495">
        <v>1498939</v>
      </c>
      <c r="D555" s="501" t="s">
        <v>68</v>
      </c>
    </row>
    <row r="556" spans="1:4" x14ac:dyDescent="0.25">
      <c r="A556" s="543"/>
      <c r="B556" s="491"/>
      <c r="C556" s="495"/>
      <c r="D556" s="501"/>
    </row>
    <row r="557" spans="1:4" x14ac:dyDescent="0.25">
      <c r="A557" s="542" t="s">
        <v>603</v>
      </c>
      <c r="B557" s="491"/>
      <c r="C557" s="487">
        <f>+C558</f>
        <v>25163</v>
      </c>
      <c r="D557" s="501"/>
    </row>
    <row r="558" spans="1:4" x14ac:dyDescent="0.25">
      <c r="A558" s="489"/>
      <c r="B558" s="490" t="s">
        <v>66</v>
      </c>
      <c r="C558" s="487">
        <f>+C559</f>
        <v>25163</v>
      </c>
      <c r="D558" s="501"/>
    </row>
    <row r="559" spans="1:4" x14ac:dyDescent="0.25">
      <c r="A559" s="543">
        <v>579</v>
      </c>
      <c r="B559" s="501" t="s">
        <v>311</v>
      </c>
      <c r="C559" s="495">
        <v>25163</v>
      </c>
      <c r="D559" s="501" t="s">
        <v>68</v>
      </c>
    </row>
    <row r="560" spans="1:4" x14ac:dyDescent="0.25">
      <c r="A560" s="543"/>
      <c r="B560" s="491"/>
      <c r="C560" s="495"/>
      <c r="D560" s="501"/>
    </row>
    <row r="561" spans="1:4" x14ac:dyDescent="0.25">
      <c r="A561" s="542" t="s">
        <v>369</v>
      </c>
      <c r="B561" s="491"/>
      <c r="C561" s="487">
        <f>+C562</f>
        <v>1304407</v>
      </c>
      <c r="D561" s="501"/>
    </row>
    <row r="562" spans="1:4" x14ac:dyDescent="0.25">
      <c r="A562" s="489"/>
      <c r="B562" s="490" t="s">
        <v>66</v>
      </c>
      <c r="C562" s="487">
        <f>+C563</f>
        <v>1304407</v>
      </c>
      <c r="D562" s="501"/>
    </row>
    <row r="563" spans="1:4" x14ac:dyDescent="0.25">
      <c r="A563" s="543">
        <v>579</v>
      </c>
      <c r="B563" s="501" t="s">
        <v>311</v>
      </c>
      <c r="C563" s="495">
        <v>1304407</v>
      </c>
      <c r="D563" s="501" t="s">
        <v>68</v>
      </c>
    </row>
    <row r="564" spans="1:4" x14ac:dyDescent="0.25">
      <c r="A564" s="543"/>
      <c r="B564" s="491"/>
      <c r="C564" s="495"/>
      <c r="D564" s="501"/>
    </row>
    <row r="565" spans="1:4" x14ac:dyDescent="0.25">
      <c r="A565" s="542" t="s">
        <v>370</v>
      </c>
      <c r="B565" s="491"/>
      <c r="C565" s="487">
        <f>+C566</f>
        <v>1833132</v>
      </c>
      <c r="D565" s="501"/>
    </row>
    <row r="566" spans="1:4" x14ac:dyDescent="0.25">
      <c r="A566" s="489"/>
      <c r="B566" s="490" t="s">
        <v>66</v>
      </c>
      <c r="C566" s="487">
        <f>+C567</f>
        <v>1833132</v>
      </c>
      <c r="D566" s="501"/>
    </row>
    <row r="567" spans="1:4" x14ac:dyDescent="0.25">
      <c r="A567" s="543">
        <v>579</v>
      </c>
      <c r="B567" s="501" t="s">
        <v>311</v>
      </c>
      <c r="C567" s="495">
        <v>1833132</v>
      </c>
      <c r="D567" s="501" t="s">
        <v>68</v>
      </c>
    </row>
    <row r="568" spans="1:4" x14ac:dyDescent="0.25">
      <c r="A568" s="543"/>
      <c r="B568" s="491"/>
      <c r="C568" s="495"/>
      <c r="D568" s="501"/>
    </row>
    <row r="569" spans="1:4" x14ac:dyDescent="0.25">
      <c r="A569" s="542" t="s">
        <v>371</v>
      </c>
      <c r="B569" s="491"/>
      <c r="C569" s="547">
        <f>+C570</f>
        <v>90686</v>
      </c>
      <c r="D569" s="501"/>
    </row>
    <row r="570" spans="1:4" x14ac:dyDescent="0.25">
      <c r="A570" s="489"/>
      <c r="B570" s="490" t="s">
        <v>66</v>
      </c>
      <c r="C570" s="487">
        <f>+C571</f>
        <v>90686</v>
      </c>
      <c r="D570" s="501"/>
    </row>
    <row r="571" spans="1:4" x14ac:dyDescent="0.25">
      <c r="A571" s="543">
        <v>579</v>
      </c>
      <c r="B571" s="501" t="s">
        <v>311</v>
      </c>
      <c r="C571" s="495">
        <v>90686</v>
      </c>
      <c r="D571" s="501" t="s">
        <v>68</v>
      </c>
    </row>
    <row r="572" spans="1:4" x14ac:dyDescent="0.25">
      <c r="A572" s="543"/>
      <c r="B572" s="501"/>
      <c r="C572" s="495"/>
      <c r="D572" s="501"/>
    </row>
    <row r="573" spans="1:4" x14ac:dyDescent="0.25">
      <c r="A573" s="542" t="s">
        <v>612</v>
      </c>
      <c r="B573" s="506"/>
      <c r="C573" s="487">
        <f>SUM(C574)</f>
        <v>1000000</v>
      </c>
      <c r="D573" s="501"/>
    </row>
    <row r="574" spans="1:4" x14ac:dyDescent="0.25">
      <c r="A574" s="485"/>
      <c r="B574" s="490" t="s">
        <v>66</v>
      </c>
      <c r="C574" s="487">
        <f>SUM(C575)</f>
        <v>1000000</v>
      </c>
      <c r="D574" s="501"/>
    </row>
    <row r="575" spans="1:4" x14ac:dyDescent="0.25">
      <c r="A575" s="489">
        <v>511</v>
      </c>
      <c r="B575" s="501" t="s">
        <v>215</v>
      </c>
      <c r="C575" s="492">
        <v>1000000</v>
      </c>
      <c r="D575" s="501" t="s">
        <v>68</v>
      </c>
    </row>
    <row r="576" spans="1:4" x14ac:dyDescent="0.25">
      <c r="A576" s="543"/>
      <c r="B576" s="501"/>
      <c r="C576" s="495"/>
      <c r="D576" s="501"/>
    </row>
    <row r="577" spans="1:4" x14ac:dyDescent="0.25">
      <c r="A577" s="542" t="s">
        <v>373</v>
      </c>
      <c r="B577" s="501"/>
      <c r="C577" s="547">
        <f>+C578</f>
        <v>174574</v>
      </c>
      <c r="D577" s="501"/>
    </row>
    <row r="578" spans="1:4" x14ac:dyDescent="0.25">
      <c r="A578" s="489"/>
      <c r="B578" s="490" t="s">
        <v>66</v>
      </c>
      <c r="C578" s="487">
        <f>+C579</f>
        <v>174574</v>
      </c>
      <c r="D578" s="501"/>
    </row>
    <row r="579" spans="1:4" x14ac:dyDescent="0.25">
      <c r="A579" s="543">
        <v>579</v>
      </c>
      <c r="B579" s="501" t="s">
        <v>311</v>
      </c>
      <c r="C579" s="495">
        <v>174574</v>
      </c>
      <c r="D579" s="501" t="s">
        <v>68</v>
      </c>
    </row>
    <row r="580" spans="1:4" x14ac:dyDescent="0.25">
      <c r="A580" s="543"/>
      <c r="B580" s="501"/>
      <c r="C580" s="495"/>
      <c r="D580" s="501"/>
    </row>
    <row r="581" spans="1:4" x14ac:dyDescent="0.25">
      <c r="A581" s="542" t="s">
        <v>338</v>
      </c>
      <c r="B581" s="490"/>
      <c r="C581" s="487">
        <f>+C582</f>
        <v>361400</v>
      </c>
      <c r="D581" s="501"/>
    </row>
    <row r="582" spans="1:4" x14ac:dyDescent="0.25">
      <c r="A582" s="485"/>
      <c r="B582" s="490" t="s">
        <v>66</v>
      </c>
      <c r="C582" s="487">
        <f>SUM(C583:C583)</f>
        <v>361400</v>
      </c>
      <c r="D582" s="501"/>
    </row>
    <row r="583" spans="1:4" x14ac:dyDescent="0.25">
      <c r="A583" s="489">
        <v>581</v>
      </c>
      <c r="B583" s="501" t="s">
        <v>140</v>
      </c>
      <c r="C583" s="492">
        <v>361400</v>
      </c>
      <c r="D583" s="501" t="s">
        <v>68</v>
      </c>
    </row>
    <row r="584" spans="1:4" x14ac:dyDescent="0.25">
      <c r="A584" s="485"/>
      <c r="B584" s="491"/>
      <c r="C584" s="492"/>
      <c r="D584" s="501"/>
    </row>
    <row r="585" spans="1:4" ht="26.25" customHeight="1" x14ac:dyDescent="0.25">
      <c r="A585" s="704" t="s">
        <v>374</v>
      </c>
      <c r="B585" s="705"/>
      <c r="C585" s="487">
        <f>+C586</f>
        <v>5584495</v>
      </c>
      <c r="D585" s="501"/>
    </row>
    <row r="586" spans="1:4" x14ac:dyDescent="0.25">
      <c r="A586" s="485"/>
      <c r="B586" s="490" t="s">
        <v>66</v>
      </c>
      <c r="C586" s="487">
        <f>SUM(C587:C589)</f>
        <v>5584495</v>
      </c>
      <c r="D586" s="501"/>
    </row>
    <row r="587" spans="1:4" x14ac:dyDescent="0.25">
      <c r="A587" s="543">
        <v>579</v>
      </c>
      <c r="B587" s="501" t="s">
        <v>311</v>
      </c>
      <c r="C587" s="492">
        <v>334495</v>
      </c>
      <c r="D587" s="501" t="s">
        <v>68</v>
      </c>
    </row>
    <row r="588" spans="1:4" x14ac:dyDescent="0.25">
      <c r="A588" s="543">
        <v>579</v>
      </c>
      <c r="B588" s="501" t="s">
        <v>311</v>
      </c>
      <c r="C588" s="492">
        <v>2250000</v>
      </c>
      <c r="D588" s="501" t="s">
        <v>375</v>
      </c>
    </row>
    <row r="589" spans="1:4" x14ac:dyDescent="0.25">
      <c r="A589" s="543">
        <v>579</v>
      </c>
      <c r="B589" s="501" t="s">
        <v>311</v>
      </c>
      <c r="C589" s="492">
        <v>3000000</v>
      </c>
      <c r="D589" s="501" t="s">
        <v>376</v>
      </c>
    </row>
    <row r="590" spans="1:4" x14ac:dyDescent="0.25">
      <c r="A590" s="543"/>
      <c r="B590" s="491"/>
      <c r="C590" s="492"/>
      <c r="D590" s="501"/>
    </row>
    <row r="591" spans="1:4" ht="28.5" customHeight="1" x14ac:dyDescent="0.25">
      <c r="A591" s="704" t="s">
        <v>622</v>
      </c>
      <c r="B591" s="705"/>
      <c r="C591" s="547">
        <f>+C592</f>
        <v>24713000</v>
      </c>
      <c r="D591" s="501"/>
    </row>
    <row r="592" spans="1:4" x14ac:dyDescent="0.25">
      <c r="A592" s="489"/>
      <c r="B592" s="490" t="s">
        <v>66</v>
      </c>
      <c r="C592" s="487">
        <f>+C593</f>
        <v>24713000</v>
      </c>
      <c r="D592" s="501"/>
    </row>
    <row r="593" spans="1:5" ht="26.25" x14ac:dyDescent="0.25">
      <c r="A593" s="543">
        <v>529</v>
      </c>
      <c r="B593" s="491" t="s">
        <v>241</v>
      </c>
      <c r="C593" s="495">
        <f>24813000-100000</f>
        <v>24713000</v>
      </c>
      <c r="D593" s="501" t="s">
        <v>815</v>
      </c>
    </row>
    <row r="594" spans="1:5" x14ac:dyDescent="0.25">
      <c r="A594" s="505"/>
      <c r="B594" s="506"/>
      <c r="C594" s="506"/>
      <c r="D594" s="501"/>
    </row>
    <row r="595" spans="1:5" ht="27.75" customHeight="1" x14ac:dyDescent="0.25">
      <c r="A595" s="704" t="s">
        <v>821</v>
      </c>
      <c r="B595" s="705"/>
      <c r="C595" s="547">
        <f>+C596+C600</f>
        <v>775000</v>
      </c>
      <c r="D595" s="501"/>
    </row>
    <row r="596" spans="1:5" x14ac:dyDescent="0.25">
      <c r="A596" s="489"/>
      <c r="B596" s="490" t="s">
        <v>66</v>
      </c>
      <c r="C596" s="487">
        <f>+C597+C598</f>
        <v>700000</v>
      </c>
      <c r="D596" s="501"/>
    </row>
    <row r="597" spans="1:5" x14ac:dyDescent="0.25">
      <c r="A597" s="543">
        <v>523</v>
      </c>
      <c r="B597" s="501" t="s">
        <v>820</v>
      </c>
      <c r="C597" s="495">
        <v>200000</v>
      </c>
      <c r="D597" s="501" t="s">
        <v>68</v>
      </c>
    </row>
    <row r="598" spans="1:5" x14ac:dyDescent="0.25">
      <c r="A598" s="543">
        <v>529</v>
      </c>
      <c r="B598" s="501" t="s">
        <v>241</v>
      </c>
      <c r="C598" s="495">
        <v>500000</v>
      </c>
      <c r="D598" s="501" t="s">
        <v>68</v>
      </c>
    </row>
    <row r="599" spans="1:5" x14ac:dyDescent="0.25">
      <c r="A599" s="543"/>
      <c r="B599" s="490"/>
      <c r="C599" s="487"/>
      <c r="D599" s="501"/>
    </row>
    <row r="600" spans="1:5" x14ac:dyDescent="0.25">
      <c r="A600" s="543"/>
      <c r="B600" s="490" t="s">
        <v>94</v>
      </c>
      <c r="C600" s="487">
        <f>+C601</f>
        <v>75000</v>
      </c>
      <c r="D600" s="501"/>
    </row>
    <row r="601" spans="1:5" x14ac:dyDescent="0.25">
      <c r="A601" s="543">
        <v>624</v>
      </c>
      <c r="B601" s="501" t="s">
        <v>820</v>
      </c>
      <c r="C601" s="495">
        <v>75000</v>
      </c>
      <c r="D601" s="501" t="s">
        <v>68</v>
      </c>
    </row>
    <row r="602" spans="1:5" x14ac:dyDescent="0.25">
      <c r="A602" s="505"/>
      <c r="B602" s="506"/>
      <c r="C602" s="506"/>
      <c r="D602" s="501"/>
    </row>
    <row r="603" spans="1:5" ht="24" customHeight="1" x14ac:dyDescent="0.25">
      <c r="A603" s="704" t="s">
        <v>822</v>
      </c>
      <c r="B603" s="705"/>
      <c r="C603" s="547">
        <f>+C604</f>
        <v>350000</v>
      </c>
      <c r="D603" s="501"/>
    </row>
    <row r="604" spans="1:5" x14ac:dyDescent="0.25">
      <c r="A604" s="489"/>
      <c r="B604" s="490" t="s">
        <v>66</v>
      </c>
      <c r="C604" s="487">
        <f>+C605+C606</f>
        <v>350000</v>
      </c>
      <c r="D604" s="501"/>
    </row>
    <row r="605" spans="1:5" x14ac:dyDescent="0.25">
      <c r="A605" s="543">
        <v>523</v>
      </c>
      <c r="B605" s="501" t="s">
        <v>820</v>
      </c>
      <c r="C605" s="495">
        <v>350000</v>
      </c>
      <c r="D605" s="501" t="s">
        <v>68</v>
      </c>
    </row>
    <row r="606" spans="1:5" x14ac:dyDescent="0.25">
      <c r="A606" s="543"/>
      <c r="B606" s="501"/>
      <c r="C606" s="495"/>
      <c r="D606" s="501"/>
    </row>
    <row r="607" spans="1:5" ht="33" customHeight="1" x14ac:dyDescent="0.25">
      <c r="A607" s="704" t="s">
        <v>236</v>
      </c>
      <c r="B607" s="705"/>
      <c r="C607" s="547">
        <f>+C608</f>
        <v>9622759</v>
      </c>
      <c r="D607" s="501"/>
      <c r="E607" s="42"/>
    </row>
    <row r="608" spans="1:5" x14ac:dyDescent="0.25">
      <c r="A608" s="548"/>
      <c r="B608" s="549" t="s">
        <v>66</v>
      </c>
      <c r="C608" s="547">
        <f>+C609</f>
        <v>9622759</v>
      </c>
      <c r="D608" s="501"/>
    </row>
    <row r="609" spans="1:4" ht="26.25" x14ac:dyDescent="0.25">
      <c r="A609" s="489">
        <v>572</v>
      </c>
      <c r="B609" s="501" t="s">
        <v>234</v>
      </c>
      <c r="C609" s="492">
        <v>9622759</v>
      </c>
      <c r="D609" s="501" t="s">
        <v>235</v>
      </c>
    </row>
    <row r="610" spans="1:4" x14ac:dyDescent="0.25">
      <c r="A610" s="505"/>
      <c r="B610" s="506"/>
      <c r="C610" s="506"/>
      <c r="D610" s="501"/>
    </row>
    <row r="611" spans="1:4" ht="29.25" customHeight="1" x14ac:dyDescent="0.25">
      <c r="A611" s="704" t="s">
        <v>237</v>
      </c>
      <c r="B611" s="705"/>
      <c r="C611" s="487">
        <f>+C612</f>
        <v>11597902</v>
      </c>
      <c r="D611" s="501"/>
    </row>
    <row r="612" spans="1:4" x14ac:dyDescent="0.25">
      <c r="A612" s="548"/>
      <c r="B612" s="549" t="s">
        <v>66</v>
      </c>
      <c r="C612" s="487">
        <f>+C613</f>
        <v>11597902</v>
      </c>
      <c r="D612" s="501"/>
    </row>
    <row r="613" spans="1:4" ht="26.25" x14ac:dyDescent="0.25">
      <c r="A613" s="489">
        <v>572</v>
      </c>
      <c r="B613" s="501" t="s">
        <v>234</v>
      </c>
      <c r="C613" s="492">
        <v>11597902</v>
      </c>
      <c r="D613" s="501" t="s">
        <v>235</v>
      </c>
    </row>
    <row r="614" spans="1:4" x14ac:dyDescent="0.25">
      <c r="A614" s="505"/>
      <c r="B614" s="506"/>
      <c r="C614" s="506"/>
      <c r="D614" s="501"/>
    </row>
    <row r="615" spans="1:4" x14ac:dyDescent="0.25">
      <c r="A615" s="542" t="s">
        <v>238</v>
      </c>
      <c r="B615" s="506"/>
      <c r="C615" s="487">
        <f>+C616+C619</f>
        <v>175716651</v>
      </c>
      <c r="D615" s="501"/>
    </row>
    <row r="616" spans="1:4" x14ac:dyDescent="0.25">
      <c r="A616" s="548"/>
      <c r="B616" s="550" t="s">
        <v>66</v>
      </c>
      <c r="C616" s="487">
        <f>+C617</f>
        <v>11983442</v>
      </c>
      <c r="D616" s="501"/>
    </row>
    <row r="617" spans="1:4" x14ac:dyDescent="0.25">
      <c r="A617" s="489">
        <v>572</v>
      </c>
      <c r="B617" s="501" t="s">
        <v>239</v>
      </c>
      <c r="C617" s="492">
        <v>11983442</v>
      </c>
      <c r="D617" s="501" t="s">
        <v>68</v>
      </c>
    </row>
    <row r="618" spans="1:4" x14ac:dyDescent="0.25">
      <c r="A618" s="505"/>
      <c r="B618" s="506"/>
      <c r="C618" s="551"/>
      <c r="D618" s="501"/>
    </row>
    <row r="619" spans="1:4" x14ac:dyDescent="0.25">
      <c r="A619" s="552"/>
      <c r="B619" s="550" t="s">
        <v>94</v>
      </c>
      <c r="C619" s="487">
        <f>+C620</f>
        <v>163733209</v>
      </c>
      <c r="D619" s="501"/>
    </row>
    <row r="620" spans="1:4" x14ac:dyDescent="0.25">
      <c r="A620" s="552"/>
      <c r="B620" s="550" t="s">
        <v>73</v>
      </c>
      <c r="C620" s="487">
        <f>+C621</f>
        <v>163733209</v>
      </c>
      <c r="D620" s="501"/>
    </row>
    <row r="621" spans="1:4" x14ac:dyDescent="0.25">
      <c r="A621" s="489"/>
      <c r="B621" s="501" t="s">
        <v>240</v>
      </c>
      <c r="C621" s="492">
        <v>163733209</v>
      </c>
      <c r="D621" s="501" t="s">
        <v>68</v>
      </c>
    </row>
    <row r="622" spans="1:4" x14ac:dyDescent="0.25">
      <c r="A622" s="489"/>
      <c r="B622" s="491"/>
      <c r="C622" s="492"/>
      <c r="D622" s="501"/>
    </row>
    <row r="623" spans="1:4" x14ac:dyDescent="0.25">
      <c r="A623" s="542" t="s">
        <v>620</v>
      </c>
      <c r="B623" s="501"/>
      <c r="C623" s="547">
        <f>+C624</f>
        <v>136418</v>
      </c>
      <c r="D623" s="501"/>
    </row>
    <row r="624" spans="1:4" x14ac:dyDescent="0.25">
      <c r="A624" s="489"/>
      <c r="B624" s="490" t="s">
        <v>66</v>
      </c>
      <c r="C624" s="487">
        <f>+C625</f>
        <v>136418</v>
      </c>
      <c r="D624" s="501"/>
    </row>
    <row r="625" spans="1:4" x14ac:dyDescent="0.25">
      <c r="A625" s="543">
        <v>579</v>
      </c>
      <c r="B625" s="501" t="s">
        <v>311</v>
      </c>
      <c r="C625" s="495">
        <v>136418</v>
      </c>
      <c r="D625" s="501" t="s">
        <v>68</v>
      </c>
    </row>
    <row r="626" spans="1:4" x14ac:dyDescent="0.25">
      <c r="A626" s="489"/>
      <c r="B626" s="491"/>
      <c r="C626" s="492"/>
      <c r="D626" s="501"/>
    </row>
    <row r="627" spans="1:4" x14ac:dyDescent="0.25">
      <c r="A627" s="542" t="s">
        <v>377</v>
      </c>
      <c r="B627" s="501"/>
      <c r="C627" s="547">
        <f>+C628</f>
        <v>498042</v>
      </c>
      <c r="D627" s="501"/>
    </row>
    <row r="628" spans="1:4" x14ac:dyDescent="0.25">
      <c r="A628" s="489"/>
      <c r="B628" s="490" t="s">
        <v>66</v>
      </c>
      <c r="C628" s="487">
        <f>+C629</f>
        <v>498042</v>
      </c>
      <c r="D628" s="501"/>
    </row>
    <row r="629" spans="1:4" x14ac:dyDescent="0.25">
      <c r="A629" s="543">
        <v>579</v>
      </c>
      <c r="B629" s="501" t="s">
        <v>311</v>
      </c>
      <c r="C629" s="495">
        <v>498042</v>
      </c>
      <c r="D629" s="501" t="s">
        <v>68</v>
      </c>
    </row>
    <row r="630" spans="1:4" x14ac:dyDescent="0.25">
      <c r="A630" s="543"/>
      <c r="B630" s="491"/>
      <c r="C630" s="495"/>
      <c r="D630" s="501"/>
    </row>
    <row r="631" spans="1:4" x14ac:dyDescent="0.25">
      <c r="A631" s="542" t="s">
        <v>623</v>
      </c>
      <c r="B631" s="501"/>
      <c r="C631" s="547">
        <f>+C632</f>
        <v>35000000</v>
      </c>
      <c r="D631" s="501"/>
    </row>
    <row r="632" spans="1:4" x14ac:dyDescent="0.25">
      <c r="A632" s="489"/>
      <c r="B632" s="490" t="s">
        <v>66</v>
      </c>
      <c r="C632" s="487">
        <f>+C633</f>
        <v>35000000</v>
      </c>
      <c r="D632" s="501"/>
    </row>
    <row r="633" spans="1:4" ht="26.25" x14ac:dyDescent="0.25">
      <c r="A633" s="543">
        <v>574</v>
      </c>
      <c r="B633" s="501" t="s">
        <v>604</v>
      </c>
      <c r="C633" s="495">
        <f>40000000-5000000</f>
        <v>35000000</v>
      </c>
      <c r="D633" s="501" t="s">
        <v>68</v>
      </c>
    </row>
    <row r="634" spans="1:4" x14ac:dyDescent="0.25">
      <c r="A634" s="489"/>
      <c r="B634" s="491"/>
      <c r="C634" s="492"/>
      <c r="D634" s="501"/>
    </row>
    <row r="635" spans="1:4" x14ac:dyDescent="0.25">
      <c r="A635" s="542" t="s">
        <v>378</v>
      </c>
      <c r="B635" s="501"/>
      <c r="C635" s="547">
        <f>+C636</f>
        <v>62532981</v>
      </c>
      <c r="D635" s="501"/>
    </row>
    <row r="636" spans="1:4" x14ac:dyDescent="0.25">
      <c r="A636" s="489"/>
      <c r="B636" s="490" t="s">
        <v>66</v>
      </c>
      <c r="C636" s="487">
        <f>+C637</f>
        <v>62532981</v>
      </c>
      <c r="D636" s="501"/>
    </row>
    <row r="637" spans="1:4" ht="26.25" x14ac:dyDescent="0.25">
      <c r="A637" s="543">
        <v>574</v>
      </c>
      <c r="B637" s="501" t="s">
        <v>604</v>
      </c>
      <c r="C637" s="495">
        <v>62532981</v>
      </c>
      <c r="D637" s="501" t="s">
        <v>68</v>
      </c>
    </row>
    <row r="638" spans="1:4" ht="12" customHeight="1" x14ac:dyDescent="0.25">
      <c r="A638" s="543"/>
      <c r="B638" s="491"/>
      <c r="C638" s="495"/>
      <c r="D638" s="501"/>
    </row>
    <row r="639" spans="1:4" x14ac:dyDescent="0.25">
      <c r="A639" s="485" t="s">
        <v>347</v>
      </c>
      <c r="B639" s="545"/>
      <c r="C639" s="547">
        <f>+C640</f>
        <v>78000000</v>
      </c>
      <c r="D639" s="501"/>
    </row>
    <row r="640" spans="1:4" x14ac:dyDescent="0.25">
      <c r="A640" s="505"/>
      <c r="B640" s="490" t="s">
        <v>66</v>
      </c>
      <c r="C640" s="487">
        <f>SUM(C641:C645)</f>
        <v>78000000</v>
      </c>
      <c r="D640" s="501"/>
    </row>
    <row r="641" spans="1:7" x14ac:dyDescent="0.25">
      <c r="A641" s="543">
        <v>816</v>
      </c>
      <c r="B641" s="501" t="s">
        <v>580</v>
      </c>
      <c r="C641" s="495">
        <f>50136700-36700-39100000</f>
        <v>11000000</v>
      </c>
      <c r="D641" s="501" t="s">
        <v>68</v>
      </c>
      <c r="E641" s="39"/>
    </row>
    <row r="642" spans="1:7" x14ac:dyDescent="0.25">
      <c r="A642" s="543">
        <v>826</v>
      </c>
      <c r="B642" s="501" t="s">
        <v>627</v>
      </c>
      <c r="C642" s="495">
        <f>53700000-5000000+100000+5000000</f>
        <v>53800000</v>
      </c>
      <c r="D642" s="501" t="s">
        <v>68</v>
      </c>
      <c r="E642" s="39"/>
    </row>
    <row r="643" spans="1:7" x14ac:dyDescent="0.25">
      <c r="A643" s="543">
        <v>826</v>
      </c>
      <c r="B643" s="501" t="s">
        <v>627</v>
      </c>
      <c r="C643" s="495">
        <v>5450000</v>
      </c>
      <c r="D643" s="501" t="s">
        <v>79</v>
      </c>
      <c r="E643" s="39"/>
    </row>
    <row r="644" spans="1:7" x14ac:dyDescent="0.25">
      <c r="A644" s="543">
        <v>828</v>
      </c>
      <c r="B644" s="501" t="s">
        <v>613</v>
      </c>
      <c r="C644" s="495">
        <v>750000</v>
      </c>
      <c r="D644" s="501" t="s">
        <v>68</v>
      </c>
      <c r="E644" s="39"/>
    </row>
    <row r="645" spans="1:7" x14ac:dyDescent="0.25">
      <c r="A645" s="543">
        <v>828</v>
      </c>
      <c r="B645" s="501" t="s">
        <v>613</v>
      </c>
      <c r="C645" s="495">
        <v>7000000</v>
      </c>
      <c r="D645" s="501" t="s">
        <v>309</v>
      </c>
      <c r="E645" s="39"/>
    </row>
    <row r="646" spans="1:7" ht="12.75" customHeight="1" x14ac:dyDescent="0.25">
      <c r="A646" s="505"/>
      <c r="B646" s="506"/>
      <c r="C646" s="553"/>
      <c r="D646" s="501"/>
    </row>
    <row r="647" spans="1:7" ht="12" customHeight="1" x14ac:dyDescent="0.25">
      <c r="A647" s="505"/>
      <c r="B647" s="506"/>
      <c r="C647" s="554"/>
      <c r="D647" s="501"/>
    </row>
    <row r="648" spans="1:7" x14ac:dyDescent="0.25">
      <c r="A648" s="505"/>
      <c r="B648" s="549" t="s">
        <v>249</v>
      </c>
      <c r="C648" s="555">
        <f>+C649+C656</f>
        <v>1477732730</v>
      </c>
      <c r="D648" s="501"/>
      <c r="F648" s="38"/>
      <c r="G648" s="44"/>
    </row>
    <row r="649" spans="1:7" x14ac:dyDescent="0.25">
      <c r="A649" s="505"/>
      <c r="B649" s="549" t="s">
        <v>66</v>
      </c>
      <c r="C649" s="555">
        <f>SUM(C650:C654)</f>
        <v>805252668</v>
      </c>
      <c r="D649" s="501"/>
      <c r="F649" s="38"/>
      <c r="G649" s="44"/>
    </row>
    <row r="650" spans="1:7" x14ac:dyDescent="0.25">
      <c r="A650" s="505"/>
      <c r="B650" s="501" t="s">
        <v>68</v>
      </c>
      <c r="C650" s="556">
        <f>+C11+C12+C13+C14+C15+C17+C18+C19+C20+C21+C22+C23+C24+C28+C29+C30+C31+C35+C39+C40+C41+C43+C44+C45+C46+C47+C50+C51+C52+C53+C54+C55+C73+C74+C75+C76+C77+C78+C79+C80+C81+C82+C83+C84+C85+C86+C87+C88+C89+C90+C91+C92+C93+C94+C95+C96+C97+C98+C99+C100+C101+C102+C103+C104+C105+C106+C107+C108+C109+C110+C118+C119+C120+C121+C122+C123+C124+C125+C126+C127+C129+C130+C131+C132+C143+C144+C268+C293+C344+C345+C346+C347+C348+C349+C350+C351+C352+C353+C354+C355+C356+C357+C361+C365+C366+C367+C411+C415+C419+C423+C427+C431+C435+C439+C443+C453+C472+C497+C515+C519+C526+C530+C539+C543+C547+C551+C555+C559+C563+C567+C571+C575+C579+C583+C587+C597+C598+C605+C617+C625+C629+C633+C637+C641+C642+C644</f>
        <v>336047659</v>
      </c>
      <c r="D650" s="501"/>
      <c r="E650" s="44"/>
      <c r="F650" s="38"/>
      <c r="G650" s="44"/>
    </row>
    <row r="651" spans="1:7" x14ac:dyDescent="0.25">
      <c r="A651" s="505"/>
      <c r="B651" s="501" t="s">
        <v>816</v>
      </c>
      <c r="C651" s="556">
        <f>C593</f>
        <v>24713000</v>
      </c>
      <c r="D651" s="501"/>
      <c r="F651" s="38"/>
      <c r="G651" s="44"/>
    </row>
    <row r="652" spans="1:7" x14ac:dyDescent="0.25">
      <c r="A652" s="505"/>
      <c r="B652" s="501" t="s">
        <v>112</v>
      </c>
      <c r="C652" s="556">
        <f>+C16+C42+C48+C49+C164+C165+C166+C167+C168+C170+C172+C174+C175+C176++C178+C179+C181+C183+C184+C185+C186+C187+C188+C189+C190+C191+C193+C195+C196+C198+C200+C202+C204+C206+C208+C210+C212+C214+C215+C217+C218+C219+C220+C221+C222+C224+C226+C228+C230+C232+C233+C235+C237+C238+C239+C241+C243+C245+C247+C248+C250+C252+C253+C254+C255+C256+C257+C259+C260+C262+C264+C265+C267+C322+C323+C324+C489+C493+C609+C613</f>
        <v>112211434</v>
      </c>
      <c r="D652" s="501"/>
      <c r="F652" s="38"/>
      <c r="G652" s="44"/>
    </row>
    <row r="653" spans="1:7" x14ac:dyDescent="0.25">
      <c r="A653" s="505"/>
      <c r="B653" s="501" t="s">
        <v>332</v>
      </c>
      <c r="C653" s="556">
        <f>+C128+C197+C216+C315+C317+C319+C368+C369+C370+C395+C397+C520+C521+C643+C394</f>
        <v>116620871</v>
      </c>
      <c r="D653" s="501"/>
      <c r="F653" s="38"/>
      <c r="G653" s="44"/>
    </row>
    <row r="654" spans="1:7" x14ac:dyDescent="0.25">
      <c r="A654" s="505"/>
      <c r="B654" s="501" t="s">
        <v>333</v>
      </c>
      <c r="C654" s="556">
        <f>+C142+C145+C153+C154+C169+C171+C173+C177+C180+C182+C192+C194+C199+C201+C203+C205+C207+C209+C211+C213+C223+C225+C227+C229+C231+C234+C236+C240+C242+C244+C246+C249+C251+C258+C261+C263+C266+C269+C270+C310+C311+C312+C313+C314+C316+C318+C320+C321+C385+C386+C387+C388+C392+C393+C396+C398+C399+C522+C588+C589+C645</f>
        <v>215659704</v>
      </c>
      <c r="D654" s="501"/>
      <c r="E654" s="44"/>
      <c r="F654" s="38"/>
      <c r="G654" s="44"/>
    </row>
    <row r="655" spans="1:7" x14ac:dyDescent="0.25">
      <c r="A655" s="505"/>
      <c r="B655" s="506"/>
      <c r="C655" s="556"/>
      <c r="D655" s="501"/>
      <c r="E655" s="44"/>
      <c r="F655" s="38"/>
      <c r="G655" s="44"/>
    </row>
    <row r="656" spans="1:7" x14ac:dyDescent="0.25">
      <c r="A656" s="505"/>
      <c r="B656" s="549" t="s">
        <v>94</v>
      </c>
      <c r="C656" s="555">
        <f>SUM(C657:C661)</f>
        <v>672480062</v>
      </c>
      <c r="D656" s="501"/>
      <c r="E656" s="44"/>
      <c r="F656" s="38"/>
      <c r="G656" s="44"/>
    </row>
    <row r="657" spans="1:7" x14ac:dyDescent="0.25">
      <c r="A657" s="505"/>
      <c r="B657" s="501" t="s">
        <v>68</v>
      </c>
      <c r="C657" s="556">
        <f>+C59+C60+C61+C62+C63+C64+C65+C66+C69+C114+C136+C149+C297+C298+C299+C300+C301+C302+C303+C304+C447+C448+C449+C458+C463+C468+C476+C621+C511+C502+C503+C506+C601</f>
        <v>293357013</v>
      </c>
      <c r="D657" s="501"/>
      <c r="E657" s="44"/>
      <c r="F657" s="38"/>
      <c r="G657" s="44"/>
    </row>
    <row r="658" spans="1:7" x14ac:dyDescent="0.25">
      <c r="A658" s="505"/>
      <c r="B658" s="501" t="s">
        <v>75</v>
      </c>
      <c r="C658" s="556">
        <f>+C374+C375+C376+C378+C481+C504+C505</f>
        <v>29908000</v>
      </c>
      <c r="D658" s="501"/>
      <c r="E658" s="44"/>
      <c r="F658" s="38"/>
      <c r="G658" s="44"/>
    </row>
    <row r="659" spans="1:7" x14ac:dyDescent="0.25">
      <c r="A659" s="505"/>
      <c r="B659" s="501" t="s">
        <v>112</v>
      </c>
      <c r="C659" s="556">
        <f>+C281+C283+C284+C285+C286+C287</f>
        <v>5001044</v>
      </c>
      <c r="D659" s="501"/>
      <c r="F659" s="38"/>
      <c r="G659" s="44"/>
    </row>
    <row r="660" spans="1:7" x14ac:dyDescent="0.25">
      <c r="A660" s="505"/>
      <c r="B660" s="501" t="s">
        <v>332</v>
      </c>
      <c r="C660" s="556">
        <f>+C138+C274+C275+C276+C280+C328+C329+C330+C331+C332+C333+C340+C377+C379+C380+C381+C403+C535</f>
        <v>172432136</v>
      </c>
      <c r="D660" s="501"/>
      <c r="F660" s="38"/>
      <c r="G660" s="44"/>
    </row>
    <row r="661" spans="1:7" ht="15.75" thickBot="1" x14ac:dyDescent="0.3">
      <c r="A661" s="557"/>
      <c r="B661" s="558" t="s">
        <v>333</v>
      </c>
      <c r="C661" s="559">
        <f>+C137+C158+C159+C160+C277+C282+C288+C289+C305+C306+C334+C335+C336+C337+C485+C507</f>
        <v>171781869</v>
      </c>
      <c r="D661" s="501"/>
      <c r="F661" s="38"/>
      <c r="G661" s="44"/>
    </row>
    <row r="662" spans="1:7" ht="15.75" thickBot="1" x14ac:dyDescent="0.3">
      <c r="A662" s="477">
        <v>1</v>
      </c>
      <c r="B662" s="478" t="s">
        <v>952</v>
      </c>
      <c r="C662" s="479"/>
      <c r="D662" s="480"/>
    </row>
    <row r="663" spans="1:7" x14ac:dyDescent="0.25">
      <c r="A663" s="457"/>
      <c r="B663" s="455"/>
      <c r="C663" s="456"/>
      <c r="D663" s="37"/>
    </row>
    <row r="664" spans="1:7" x14ac:dyDescent="0.25">
      <c r="C664" s="43"/>
      <c r="D664" s="37"/>
    </row>
    <row r="665" spans="1:7" x14ac:dyDescent="0.25">
      <c r="C665" s="43"/>
      <c r="D665" s="37"/>
    </row>
    <row r="666" spans="1:7" x14ac:dyDescent="0.25">
      <c r="D666" s="37"/>
    </row>
    <row r="667" spans="1:7" x14ac:dyDescent="0.25">
      <c r="D667" s="37"/>
    </row>
    <row r="668" spans="1:7" x14ac:dyDescent="0.25">
      <c r="C668" s="43"/>
      <c r="D668" s="46"/>
      <c r="F668" s="45"/>
      <c r="G668" s="39"/>
    </row>
    <row r="669" spans="1:7" x14ac:dyDescent="0.25">
      <c r="C669" s="44"/>
      <c r="D669" s="46"/>
      <c r="F669" s="45"/>
      <c r="G669" s="39"/>
    </row>
    <row r="670" spans="1:7" x14ac:dyDescent="0.25">
      <c r="C670" s="47"/>
      <c r="D670" s="37"/>
    </row>
    <row r="671" spans="1:7" x14ac:dyDescent="0.25">
      <c r="D671" s="37"/>
    </row>
    <row r="672" spans="1:7" x14ac:dyDescent="0.25">
      <c r="C672" s="44"/>
      <c r="D672" s="37"/>
    </row>
    <row r="673" spans="3:6" x14ac:dyDescent="0.25">
      <c r="C673" s="44"/>
      <c r="D673" s="37"/>
    </row>
    <row r="674" spans="3:6" x14ac:dyDescent="0.25">
      <c r="C674" s="44"/>
      <c r="D674" s="39"/>
      <c r="E674" s="39"/>
      <c r="F674" s="39"/>
    </row>
    <row r="675" spans="3:6" x14ac:dyDescent="0.25">
      <c r="C675" s="44"/>
      <c r="D675" s="37"/>
    </row>
    <row r="676" spans="3:6" x14ac:dyDescent="0.25">
      <c r="C676" s="45"/>
      <c r="D676" s="48"/>
    </row>
    <row r="677" spans="3:6" x14ac:dyDescent="0.25">
      <c r="C677" s="45"/>
      <c r="D677" s="46"/>
    </row>
    <row r="678" spans="3:6" x14ac:dyDescent="0.25">
      <c r="D678" s="37"/>
    </row>
    <row r="679" spans="3:6" x14ac:dyDescent="0.25">
      <c r="D679" s="37"/>
    </row>
    <row r="680" spans="3:6" x14ac:dyDescent="0.25">
      <c r="D680" s="37"/>
    </row>
    <row r="681" spans="3:6" x14ac:dyDescent="0.25">
      <c r="D681" s="37"/>
    </row>
    <row r="682" spans="3:6" x14ac:dyDescent="0.25">
      <c r="D682" s="37"/>
    </row>
    <row r="683" spans="3:6" x14ac:dyDescent="0.25">
      <c r="D683" s="37"/>
    </row>
    <row r="684" spans="3:6" x14ac:dyDescent="0.25">
      <c r="D684" s="37"/>
    </row>
    <row r="685" spans="3:6" x14ac:dyDescent="0.25">
      <c r="D685" s="37"/>
    </row>
    <row r="686" spans="3:6" x14ac:dyDescent="0.25">
      <c r="D686" s="37"/>
    </row>
    <row r="687" spans="3:6" x14ac:dyDescent="0.25">
      <c r="D687" s="37"/>
    </row>
    <row r="688" spans="3:6" x14ac:dyDescent="0.25">
      <c r="D688" s="37"/>
    </row>
    <row r="689" spans="4:4" x14ac:dyDescent="0.25">
      <c r="D689" s="37"/>
    </row>
    <row r="690" spans="4:4" x14ac:dyDescent="0.25">
      <c r="D690" s="37"/>
    </row>
    <row r="691" spans="4:4" x14ac:dyDescent="0.25">
      <c r="D691" s="37"/>
    </row>
    <row r="692" spans="4:4" x14ac:dyDescent="0.25">
      <c r="D692" s="37"/>
    </row>
    <row r="693" spans="4:4" x14ac:dyDescent="0.25">
      <c r="D693" s="37"/>
    </row>
    <row r="694" spans="4:4" x14ac:dyDescent="0.25">
      <c r="D694" s="37"/>
    </row>
    <row r="695" spans="4:4" x14ac:dyDescent="0.25">
      <c r="D695" s="37"/>
    </row>
    <row r="696" spans="4:4" x14ac:dyDescent="0.25">
      <c r="D696" s="37"/>
    </row>
    <row r="697" spans="4:4" x14ac:dyDescent="0.25">
      <c r="D697" s="37"/>
    </row>
    <row r="698" spans="4:4" x14ac:dyDescent="0.25">
      <c r="D698" s="37"/>
    </row>
    <row r="699" spans="4:4" x14ac:dyDescent="0.25">
      <c r="D699" s="37"/>
    </row>
    <row r="700" spans="4:4" x14ac:dyDescent="0.25">
      <c r="D700" s="37"/>
    </row>
    <row r="701" spans="4:4" x14ac:dyDescent="0.25">
      <c r="D701" s="37"/>
    </row>
    <row r="702" spans="4:4" x14ac:dyDescent="0.25">
      <c r="D702" s="37"/>
    </row>
    <row r="703" spans="4:4" x14ac:dyDescent="0.25">
      <c r="D703" s="37"/>
    </row>
    <row r="704" spans="4:4" x14ac:dyDescent="0.25">
      <c r="D704" s="37"/>
    </row>
    <row r="705" spans="4:4" x14ac:dyDescent="0.25">
      <c r="D705" s="37"/>
    </row>
    <row r="706" spans="4:4" x14ac:dyDescent="0.25">
      <c r="D706" s="37"/>
    </row>
    <row r="707" spans="4:4" x14ac:dyDescent="0.25">
      <c r="D707" s="37"/>
    </row>
    <row r="708" spans="4:4" x14ac:dyDescent="0.25">
      <c r="D708" s="37"/>
    </row>
    <row r="709" spans="4:4" x14ac:dyDescent="0.25">
      <c r="D709" s="37"/>
    </row>
    <row r="710" spans="4:4" x14ac:dyDescent="0.25">
      <c r="D710" s="37"/>
    </row>
    <row r="711" spans="4:4" x14ac:dyDescent="0.25">
      <c r="D711" s="37"/>
    </row>
    <row r="712" spans="4:4" x14ac:dyDescent="0.25">
      <c r="D712" s="37"/>
    </row>
    <row r="713" spans="4:4" x14ac:dyDescent="0.25">
      <c r="D713" s="37"/>
    </row>
    <row r="714" spans="4:4" x14ac:dyDescent="0.25">
      <c r="D714" s="37"/>
    </row>
    <row r="715" spans="4:4" x14ac:dyDescent="0.25">
      <c r="D715" s="37"/>
    </row>
    <row r="716" spans="4:4" x14ac:dyDescent="0.25">
      <c r="D716" s="37"/>
    </row>
    <row r="717" spans="4:4" x14ac:dyDescent="0.25">
      <c r="D717" s="37"/>
    </row>
    <row r="718" spans="4:4" x14ac:dyDescent="0.25">
      <c r="D718" s="37"/>
    </row>
    <row r="719" spans="4:4" x14ac:dyDescent="0.25">
      <c r="D719" s="37"/>
    </row>
    <row r="720" spans="4:4" x14ac:dyDescent="0.25">
      <c r="D720" s="37"/>
    </row>
    <row r="721" spans="4:4" x14ac:dyDescent="0.25">
      <c r="D721" s="37"/>
    </row>
    <row r="722" spans="4:4" x14ac:dyDescent="0.25">
      <c r="D722" s="37"/>
    </row>
    <row r="723" spans="4:4" x14ac:dyDescent="0.25">
      <c r="D723" s="37"/>
    </row>
    <row r="724" spans="4:4" x14ac:dyDescent="0.25">
      <c r="D724" s="37"/>
    </row>
    <row r="725" spans="4:4" x14ac:dyDescent="0.25">
      <c r="D725" s="37"/>
    </row>
    <row r="726" spans="4:4" x14ac:dyDescent="0.25">
      <c r="D726" s="37"/>
    </row>
    <row r="727" spans="4:4" x14ac:dyDescent="0.25">
      <c r="D727" s="37"/>
    </row>
    <row r="728" spans="4:4" x14ac:dyDescent="0.25">
      <c r="D728" s="37"/>
    </row>
    <row r="729" spans="4:4" x14ac:dyDescent="0.25">
      <c r="D729" s="37"/>
    </row>
    <row r="730" spans="4:4" x14ac:dyDescent="0.25">
      <c r="D730" s="37"/>
    </row>
    <row r="731" spans="4:4" x14ac:dyDescent="0.25">
      <c r="D731" s="37"/>
    </row>
    <row r="732" spans="4:4" x14ac:dyDescent="0.25">
      <c r="D732" s="37"/>
    </row>
    <row r="733" spans="4:4" x14ac:dyDescent="0.25">
      <c r="D733" s="37"/>
    </row>
    <row r="734" spans="4:4" x14ac:dyDescent="0.25">
      <c r="D734" s="37"/>
    </row>
    <row r="735" spans="4:4" x14ac:dyDescent="0.25">
      <c r="D735" s="37"/>
    </row>
    <row r="736" spans="4:4" x14ac:dyDescent="0.25">
      <c r="D736" s="37"/>
    </row>
    <row r="737" spans="4:4" x14ac:dyDescent="0.25">
      <c r="D737" s="37"/>
    </row>
    <row r="738" spans="4:4" x14ac:dyDescent="0.25">
      <c r="D738" s="37"/>
    </row>
    <row r="739" spans="4:4" x14ac:dyDescent="0.25">
      <c r="D739" s="37"/>
    </row>
    <row r="740" spans="4:4" x14ac:dyDescent="0.25">
      <c r="D740" s="37"/>
    </row>
    <row r="741" spans="4:4" x14ac:dyDescent="0.25">
      <c r="D741" s="37"/>
    </row>
    <row r="742" spans="4:4" x14ac:dyDescent="0.25">
      <c r="D742" s="37"/>
    </row>
    <row r="743" spans="4:4" x14ac:dyDescent="0.25">
      <c r="D743" s="37"/>
    </row>
    <row r="744" spans="4:4" x14ac:dyDescent="0.25">
      <c r="D744" s="37"/>
    </row>
    <row r="745" spans="4:4" x14ac:dyDescent="0.25">
      <c r="D745" s="37"/>
    </row>
    <row r="746" spans="4:4" x14ac:dyDescent="0.25">
      <c r="D746" s="37"/>
    </row>
    <row r="747" spans="4:4" x14ac:dyDescent="0.25">
      <c r="D747" s="37"/>
    </row>
    <row r="748" spans="4:4" x14ac:dyDescent="0.25">
      <c r="D748" s="37"/>
    </row>
    <row r="749" spans="4:4" x14ac:dyDescent="0.25">
      <c r="D749" s="37"/>
    </row>
    <row r="750" spans="4:4" x14ac:dyDescent="0.25">
      <c r="D750" s="37"/>
    </row>
    <row r="751" spans="4:4" x14ac:dyDescent="0.25">
      <c r="D751" s="37"/>
    </row>
    <row r="752" spans="4:4" x14ac:dyDescent="0.25">
      <c r="D752" s="37"/>
    </row>
    <row r="753" spans="4:4" x14ac:dyDescent="0.25">
      <c r="D753" s="37"/>
    </row>
    <row r="754" spans="4:4" x14ac:dyDescent="0.25">
      <c r="D754" s="37"/>
    </row>
    <row r="755" spans="4:4" x14ac:dyDescent="0.25">
      <c r="D755" s="37"/>
    </row>
    <row r="756" spans="4:4" x14ac:dyDescent="0.25">
      <c r="D756" s="37"/>
    </row>
    <row r="757" spans="4:4" x14ac:dyDescent="0.25">
      <c r="D757" s="37"/>
    </row>
    <row r="758" spans="4:4" x14ac:dyDescent="0.25">
      <c r="D758" s="37"/>
    </row>
    <row r="759" spans="4:4" x14ac:dyDescent="0.25">
      <c r="D759" s="37"/>
    </row>
    <row r="760" spans="4:4" x14ac:dyDescent="0.25">
      <c r="D760" s="37"/>
    </row>
    <row r="761" spans="4:4" x14ac:dyDescent="0.25">
      <c r="D761" s="37"/>
    </row>
    <row r="762" spans="4:4" x14ac:dyDescent="0.25">
      <c r="D762" s="37"/>
    </row>
    <row r="763" spans="4:4" x14ac:dyDescent="0.25">
      <c r="D763" s="37"/>
    </row>
    <row r="764" spans="4:4" x14ac:dyDescent="0.25">
      <c r="D764" s="37"/>
    </row>
    <row r="765" spans="4:4" x14ac:dyDescent="0.25">
      <c r="D765" s="37"/>
    </row>
    <row r="766" spans="4:4" x14ac:dyDescent="0.25">
      <c r="D766" s="37"/>
    </row>
    <row r="767" spans="4:4" x14ac:dyDescent="0.25">
      <c r="D767" s="37"/>
    </row>
    <row r="768" spans="4:4" x14ac:dyDescent="0.25">
      <c r="D768" s="37"/>
    </row>
  </sheetData>
  <mergeCells count="14">
    <mergeCell ref="A591:B591"/>
    <mergeCell ref="A595:B595"/>
    <mergeCell ref="A603:B603"/>
    <mergeCell ref="A607:B607"/>
    <mergeCell ref="A611:B611"/>
    <mergeCell ref="A585:B585"/>
    <mergeCell ref="A390:B390"/>
    <mergeCell ref="A1:D1"/>
    <mergeCell ref="A2:D2"/>
    <mergeCell ref="A3:C3"/>
    <mergeCell ref="A441:B441"/>
    <mergeCell ref="A433:B433"/>
    <mergeCell ref="A470:B470"/>
    <mergeCell ref="A478:B478"/>
  </mergeCells>
  <printOptions horizontalCentered="1" gridLines="1"/>
  <pageMargins left="0.59055118110236227" right="0.59055118110236227" top="1.1023622047244095" bottom="1.1023622047244095" header="0.59055118110236227" footer="0.98425196850393704"/>
  <pageSetup scale="75" fitToHeight="8" orientation="portrait" r:id="rId1"/>
  <headerFooter>
    <oddHeader>&amp;R&amp;"-,Negrita"Ley N&amp;Xo&amp;X. 877
Anexo N&amp;Xo&amp;X. III</oddHeader>
    <oddFooter>&amp;C&amp;"Arial,Negrita"&amp;9&amp;P/&amp;N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9"/>
  <sheetViews>
    <sheetView showGridLines="0" zoomScale="75" zoomScaleNormal="75" workbookViewId="0">
      <selection activeCell="A32" sqref="A32"/>
    </sheetView>
  </sheetViews>
  <sheetFormatPr baseColWidth="10" defaultColWidth="11.42578125" defaultRowHeight="12.75" x14ac:dyDescent="0.2"/>
  <cols>
    <col min="1" max="1" width="44.7109375" style="18" customWidth="1"/>
    <col min="2" max="2" width="13" style="18" customWidth="1"/>
    <col min="3" max="3" width="16.42578125" style="18" bestFit="1" customWidth="1"/>
    <col min="4" max="4" width="19.140625" style="18" customWidth="1"/>
    <col min="5" max="16384" width="11.42578125" style="18"/>
  </cols>
  <sheetData>
    <row r="1" spans="1:4" ht="14.25" x14ac:dyDescent="0.2">
      <c r="A1" s="583" t="s">
        <v>942</v>
      </c>
      <c r="B1" s="584"/>
      <c r="C1" s="584"/>
      <c r="D1" s="585"/>
    </row>
    <row r="2" spans="1:4" x14ac:dyDescent="0.2">
      <c r="A2" s="718" t="s">
        <v>817</v>
      </c>
      <c r="B2" s="719"/>
      <c r="C2" s="719"/>
      <c r="D2" s="586"/>
    </row>
    <row r="3" spans="1:4" x14ac:dyDescent="0.2">
      <c r="A3" s="718" t="s">
        <v>943</v>
      </c>
      <c r="B3" s="719"/>
      <c r="C3" s="719"/>
      <c r="D3" s="720"/>
    </row>
    <row r="4" spans="1:4" x14ac:dyDescent="0.2">
      <c r="A4" s="718" t="s">
        <v>0</v>
      </c>
      <c r="B4" s="719"/>
      <c r="C4" s="719"/>
      <c r="D4" s="720"/>
    </row>
    <row r="5" spans="1:4" ht="12.75" customHeight="1" x14ac:dyDescent="0.2">
      <c r="A5" s="716" t="s">
        <v>606</v>
      </c>
      <c r="B5" s="717" t="s">
        <v>406</v>
      </c>
      <c r="C5" s="717"/>
      <c r="D5" s="587"/>
    </row>
    <row r="6" spans="1:4" x14ac:dyDescent="0.2">
      <c r="A6" s="716"/>
      <c r="B6" s="588" t="s">
        <v>407</v>
      </c>
      <c r="C6" s="588" t="s">
        <v>408</v>
      </c>
      <c r="D6" s="589" t="s">
        <v>409</v>
      </c>
    </row>
    <row r="7" spans="1:4" x14ac:dyDescent="0.2">
      <c r="A7" s="590"/>
      <c r="B7" s="591"/>
      <c r="C7" s="591"/>
      <c r="D7" s="592"/>
    </row>
    <row r="8" spans="1:4" x14ac:dyDescent="0.2">
      <c r="A8" s="593" t="s">
        <v>410</v>
      </c>
      <c r="B8" s="594">
        <f t="shared" ref="B8" si="0">SUM(B9:B14)</f>
        <v>452793</v>
      </c>
      <c r="C8" s="595">
        <f>SUM(C9:C14)</f>
        <v>5528141</v>
      </c>
      <c r="D8" s="587">
        <f>+B8+C8</f>
        <v>5980934</v>
      </c>
    </row>
    <row r="9" spans="1:4" x14ac:dyDescent="0.2">
      <c r="A9" s="596" t="s">
        <v>411</v>
      </c>
      <c r="B9" s="591">
        <v>66690</v>
      </c>
      <c r="C9" s="591">
        <v>637177</v>
      </c>
      <c r="D9" s="592">
        <f t="shared" ref="D9:D72" si="1">+B9+C9</f>
        <v>703867</v>
      </c>
    </row>
    <row r="10" spans="1:4" x14ac:dyDescent="0.2">
      <c r="A10" s="596" t="s">
        <v>412</v>
      </c>
      <c r="B10" s="591">
        <v>112228</v>
      </c>
      <c r="C10" s="591">
        <v>1728211</v>
      </c>
      <c r="D10" s="592">
        <f t="shared" si="1"/>
        <v>1840439</v>
      </c>
    </row>
    <row r="11" spans="1:4" x14ac:dyDescent="0.2">
      <c r="A11" s="596" t="s">
        <v>413</v>
      </c>
      <c r="B11" s="591">
        <v>54927</v>
      </c>
      <c r="C11" s="591">
        <v>845824</v>
      </c>
      <c r="D11" s="592">
        <f t="shared" si="1"/>
        <v>900751</v>
      </c>
    </row>
    <row r="12" spans="1:4" x14ac:dyDescent="0.2">
      <c r="A12" s="596" t="s">
        <v>414</v>
      </c>
      <c r="B12" s="591">
        <v>77177</v>
      </c>
      <c r="C12" s="591">
        <v>486542</v>
      </c>
      <c r="D12" s="592">
        <f t="shared" si="1"/>
        <v>563719</v>
      </c>
    </row>
    <row r="13" spans="1:4" x14ac:dyDescent="0.2">
      <c r="A13" s="596" t="s">
        <v>415</v>
      </c>
      <c r="B13" s="591">
        <v>65211</v>
      </c>
      <c r="C13" s="591">
        <v>1004193</v>
      </c>
      <c r="D13" s="592">
        <f t="shared" si="1"/>
        <v>1069404</v>
      </c>
    </row>
    <row r="14" spans="1:4" x14ac:dyDescent="0.2">
      <c r="A14" s="596" t="s">
        <v>416</v>
      </c>
      <c r="B14" s="591">
        <v>76560</v>
      </c>
      <c r="C14" s="591">
        <v>826194</v>
      </c>
      <c r="D14" s="592">
        <f t="shared" si="1"/>
        <v>902754</v>
      </c>
    </row>
    <row r="15" spans="1:4" x14ac:dyDescent="0.2">
      <c r="A15" s="597"/>
      <c r="B15" s="591"/>
      <c r="C15" s="591"/>
      <c r="D15" s="592"/>
    </row>
    <row r="16" spans="1:4" x14ac:dyDescent="0.2">
      <c r="A16" s="593" t="s">
        <v>417</v>
      </c>
      <c r="B16" s="595">
        <f t="shared" ref="B16" si="2">SUM(B17:B24)</f>
        <v>642388</v>
      </c>
      <c r="C16" s="595">
        <f>SUM(C17:C24)</f>
        <v>6709128</v>
      </c>
      <c r="D16" s="587">
        <f t="shared" si="1"/>
        <v>7351516</v>
      </c>
    </row>
    <row r="17" spans="1:4" x14ac:dyDescent="0.2">
      <c r="A17" s="596" t="s">
        <v>418</v>
      </c>
      <c r="B17" s="591">
        <v>62859</v>
      </c>
      <c r="C17" s="591">
        <v>967971</v>
      </c>
      <c r="D17" s="592">
        <f t="shared" si="1"/>
        <v>1030830</v>
      </c>
    </row>
    <row r="18" spans="1:4" x14ac:dyDescent="0.2">
      <c r="A18" s="596" t="s">
        <v>419</v>
      </c>
      <c r="B18" s="591">
        <v>116408</v>
      </c>
      <c r="C18" s="591">
        <v>1792581</v>
      </c>
      <c r="D18" s="592">
        <f t="shared" si="1"/>
        <v>1908989</v>
      </c>
    </row>
    <row r="19" spans="1:4" x14ac:dyDescent="0.2">
      <c r="A19" s="596" t="s">
        <v>420</v>
      </c>
      <c r="B19" s="591">
        <v>63647</v>
      </c>
      <c r="C19" s="591">
        <v>571730</v>
      </c>
      <c r="D19" s="592">
        <f t="shared" si="1"/>
        <v>635377</v>
      </c>
    </row>
    <row r="20" spans="1:4" x14ac:dyDescent="0.2">
      <c r="A20" s="596" t="s">
        <v>421</v>
      </c>
      <c r="B20" s="591">
        <v>82972</v>
      </c>
      <c r="C20" s="591">
        <v>1277700</v>
      </c>
      <c r="D20" s="592">
        <f t="shared" si="1"/>
        <v>1360672</v>
      </c>
    </row>
    <row r="21" spans="1:4" x14ac:dyDescent="0.2">
      <c r="A21" s="596" t="s">
        <v>422</v>
      </c>
      <c r="B21" s="591">
        <v>80614</v>
      </c>
      <c r="C21" s="591">
        <v>496279</v>
      </c>
      <c r="D21" s="592">
        <f t="shared" si="1"/>
        <v>576893</v>
      </c>
    </row>
    <row r="22" spans="1:4" x14ac:dyDescent="0.2">
      <c r="A22" s="596" t="s">
        <v>423</v>
      </c>
      <c r="B22" s="591">
        <v>83293</v>
      </c>
      <c r="C22" s="591">
        <v>480990</v>
      </c>
      <c r="D22" s="592">
        <f t="shared" si="1"/>
        <v>564283</v>
      </c>
    </row>
    <row r="23" spans="1:4" x14ac:dyDescent="0.2">
      <c r="A23" s="596" t="s">
        <v>424</v>
      </c>
      <c r="B23" s="591">
        <v>75025</v>
      </c>
      <c r="C23" s="591">
        <v>673935</v>
      </c>
      <c r="D23" s="592">
        <f t="shared" si="1"/>
        <v>748960</v>
      </c>
    </row>
    <row r="24" spans="1:4" x14ac:dyDescent="0.2">
      <c r="A24" s="596" t="s">
        <v>425</v>
      </c>
      <c r="B24" s="591">
        <v>77570</v>
      </c>
      <c r="C24" s="591">
        <v>447942</v>
      </c>
      <c r="D24" s="592">
        <f t="shared" si="1"/>
        <v>525512</v>
      </c>
    </row>
    <row r="25" spans="1:4" x14ac:dyDescent="0.2">
      <c r="A25" s="597"/>
      <c r="B25" s="591"/>
      <c r="C25" s="591"/>
      <c r="D25" s="592"/>
    </row>
    <row r="26" spans="1:4" x14ac:dyDescent="0.2">
      <c r="A26" s="593" t="s">
        <v>426</v>
      </c>
      <c r="B26" s="595">
        <f t="shared" ref="B26" si="3">SUM(B27:B39)</f>
        <v>1037051</v>
      </c>
      <c r="C26" s="595">
        <f>SUM(C27:C39)</f>
        <v>12675935</v>
      </c>
      <c r="D26" s="587">
        <f t="shared" si="1"/>
        <v>13712986</v>
      </c>
    </row>
    <row r="27" spans="1:4" x14ac:dyDescent="0.2">
      <c r="A27" s="596" t="s">
        <v>427</v>
      </c>
      <c r="B27" s="591">
        <v>65942</v>
      </c>
      <c r="C27" s="591">
        <v>592345</v>
      </c>
      <c r="D27" s="592">
        <f t="shared" si="1"/>
        <v>658287</v>
      </c>
    </row>
    <row r="28" spans="1:4" x14ac:dyDescent="0.2">
      <c r="A28" s="596" t="s">
        <v>428</v>
      </c>
      <c r="B28" s="591">
        <v>85660</v>
      </c>
      <c r="C28" s="591">
        <v>527700</v>
      </c>
      <c r="D28" s="592">
        <f t="shared" si="1"/>
        <v>613360</v>
      </c>
    </row>
    <row r="29" spans="1:4" x14ac:dyDescent="0.2">
      <c r="A29" s="596" t="s">
        <v>429</v>
      </c>
      <c r="B29" s="591">
        <v>89016</v>
      </c>
      <c r="C29" s="591">
        <v>514042</v>
      </c>
      <c r="D29" s="592">
        <f t="shared" si="1"/>
        <v>603058</v>
      </c>
    </row>
    <row r="30" spans="1:4" x14ac:dyDescent="0.2">
      <c r="A30" s="596" t="s">
        <v>430</v>
      </c>
      <c r="B30" s="591">
        <v>92039</v>
      </c>
      <c r="C30" s="591">
        <v>531497</v>
      </c>
      <c r="D30" s="592">
        <f t="shared" si="1"/>
        <v>623536</v>
      </c>
    </row>
    <row r="31" spans="1:4" x14ac:dyDescent="0.2">
      <c r="A31" s="596" t="s">
        <v>431</v>
      </c>
      <c r="B31" s="591">
        <v>97167</v>
      </c>
      <c r="C31" s="591">
        <v>1496285</v>
      </c>
      <c r="D31" s="592">
        <f t="shared" si="1"/>
        <v>1593452</v>
      </c>
    </row>
    <row r="32" spans="1:4" x14ac:dyDescent="0.2">
      <c r="A32" s="596" t="s">
        <v>432</v>
      </c>
      <c r="B32" s="591">
        <v>56719</v>
      </c>
      <c r="C32" s="591">
        <v>873430</v>
      </c>
      <c r="D32" s="592">
        <f t="shared" si="1"/>
        <v>930149</v>
      </c>
    </row>
    <row r="33" spans="1:4" x14ac:dyDescent="0.2">
      <c r="A33" s="596" t="s">
        <v>433</v>
      </c>
      <c r="B33" s="591">
        <v>67673</v>
      </c>
      <c r="C33" s="591">
        <v>1042110</v>
      </c>
      <c r="D33" s="592">
        <f t="shared" si="1"/>
        <v>1109783</v>
      </c>
    </row>
    <row r="34" spans="1:4" x14ac:dyDescent="0.2">
      <c r="A34" s="596" t="s">
        <v>434</v>
      </c>
      <c r="B34" s="591">
        <v>60090</v>
      </c>
      <c r="C34" s="591">
        <v>925330</v>
      </c>
      <c r="D34" s="592">
        <f t="shared" si="1"/>
        <v>985420</v>
      </c>
    </row>
    <row r="35" spans="1:4" x14ac:dyDescent="0.2">
      <c r="A35" s="596" t="s">
        <v>435</v>
      </c>
      <c r="B35" s="591">
        <v>167133</v>
      </c>
      <c r="C35" s="591">
        <v>2573706</v>
      </c>
      <c r="D35" s="592">
        <f t="shared" si="1"/>
        <v>2740839</v>
      </c>
    </row>
    <row r="36" spans="1:4" x14ac:dyDescent="0.2">
      <c r="A36" s="596" t="s">
        <v>436</v>
      </c>
      <c r="B36" s="591">
        <v>59499</v>
      </c>
      <c r="C36" s="591">
        <v>579521</v>
      </c>
      <c r="D36" s="592">
        <f t="shared" si="1"/>
        <v>639020</v>
      </c>
    </row>
    <row r="37" spans="1:4" x14ac:dyDescent="0.2">
      <c r="A37" s="596" t="s">
        <v>437</v>
      </c>
      <c r="B37" s="591">
        <v>54394</v>
      </c>
      <c r="C37" s="591">
        <v>837619</v>
      </c>
      <c r="D37" s="592">
        <f t="shared" si="1"/>
        <v>892013</v>
      </c>
    </row>
    <row r="38" spans="1:4" x14ac:dyDescent="0.2">
      <c r="A38" s="596" t="s">
        <v>438</v>
      </c>
      <c r="B38" s="591">
        <v>87604</v>
      </c>
      <c r="C38" s="591">
        <v>1349022</v>
      </c>
      <c r="D38" s="592">
        <f t="shared" si="1"/>
        <v>1436626</v>
      </c>
    </row>
    <row r="39" spans="1:4" x14ac:dyDescent="0.2">
      <c r="A39" s="596" t="s">
        <v>439</v>
      </c>
      <c r="B39" s="591">
        <v>54115</v>
      </c>
      <c r="C39" s="591">
        <f>833327+1</f>
        <v>833328</v>
      </c>
      <c r="D39" s="592">
        <f t="shared" si="1"/>
        <v>887443</v>
      </c>
    </row>
    <row r="40" spans="1:4" x14ac:dyDescent="0.2">
      <c r="A40" s="597"/>
      <c r="B40" s="591"/>
      <c r="C40" s="591"/>
      <c r="D40" s="592"/>
    </row>
    <row r="41" spans="1:4" x14ac:dyDescent="0.2">
      <c r="A41" s="593" t="s">
        <v>440</v>
      </c>
      <c r="B41" s="595">
        <f t="shared" ref="B41" si="4">SUM(B42:B51)</f>
        <v>604322</v>
      </c>
      <c r="C41" s="595">
        <f>SUM(C42:C51)</f>
        <v>8483226</v>
      </c>
      <c r="D41" s="587">
        <f t="shared" si="1"/>
        <v>9087548</v>
      </c>
    </row>
    <row r="42" spans="1:4" x14ac:dyDescent="0.2">
      <c r="A42" s="596" t="s">
        <v>441</v>
      </c>
      <c r="B42" s="591">
        <v>69505</v>
      </c>
      <c r="C42" s="591">
        <v>705364</v>
      </c>
      <c r="D42" s="592">
        <f t="shared" si="1"/>
        <v>774869</v>
      </c>
    </row>
    <row r="43" spans="1:4" x14ac:dyDescent="0.2">
      <c r="A43" s="596" t="s">
        <v>442</v>
      </c>
      <c r="B43" s="591">
        <v>71359</v>
      </c>
      <c r="C43" s="591">
        <v>641006</v>
      </c>
      <c r="D43" s="592">
        <f t="shared" si="1"/>
        <v>712365</v>
      </c>
    </row>
    <row r="44" spans="1:4" x14ac:dyDescent="0.2">
      <c r="A44" s="596" t="s">
        <v>443</v>
      </c>
      <c r="B44" s="591">
        <v>117322</v>
      </c>
      <c r="C44" s="591">
        <v>1806657</v>
      </c>
      <c r="D44" s="592">
        <f t="shared" si="1"/>
        <v>1923979</v>
      </c>
    </row>
    <row r="45" spans="1:4" x14ac:dyDescent="0.2">
      <c r="A45" s="596" t="s">
        <v>444</v>
      </c>
      <c r="B45" s="591">
        <v>50728</v>
      </c>
      <c r="C45" s="591">
        <v>781171</v>
      </c>
      <c r="D45" s="592">
        <f t="shared" si="1"/>
        <v>831899</v>
      </c>
    </row>
    <row r="46" spans="1:4" x14ac:dyDescent="0.2">
      <c r="A46" s="596" t="s">
        <v>445</v>
      </c>
      <c r="B46" s="591">
        <v>46130</v>
      </c>
      <c r="C46" s="591">
        <v>710366</v>
      </c>
      <c r="D46" s="592">
        <f t="shared" si="1"/>
        <v>756496</v>
      </c>
    </row>
    <row r="47" spans="1:4" x14ac:dyDescent="0.2">
      <c r="A47" s="596" t="s">
        <v>446</v>
      </c>
      <c r="B47" s="591">
        <v>54283</v>
      </c>
      <c r="C47" s="591">
        <v>835916</v>
      </c>
      <c r="D47" s="592">
        <f t="shared" si="1"/>
        <v>890199</v>
      </c>
    </row>
    <row r="48" spans="1:4" x14ac:dyDescent="0.2">
      <c r="A48" s="596" t="s">
        <v>447</v>
      </c>
      <c r="B48" s="591">
        <v>46226</v>
      </c>
      <c r="C48" s="591">
        <v>711835</v>
      </c>
      <c r="D48" s="592">
        <f t="shared" si="1"/>
        <v>758061</v>
      </c>
    </row>
    <row r="49" spans="1:4" x14ac:dyDescent="0.2">
      <c r="A49" s="596" t="s">
        <v>448</v>
      </c>
      <c r="B49" s="591">
        <v>51043</v>
      </c>
      <c r="C49" s="591">
        <v>786025</v>
      </c>
      <c r="D49" s="592">
        <f t="shared" si="1"/>
        <v>837068</v>
      </c>
    </row>
    <row r="50" spans="1:4" x14ac:dyDescent="0.2">
      <c r="A50" s="596" t="s">
        <v>449</v>
      </c>
      <c r="B50" s="591">
        <v>48869</v>
      </c>
      <c r="C50" s="591">
        <v>752535</v>
      </c>
      <c r="D50" s="592">
        <f t="shared" si="1"/>
        <v>801404</v>
      </c>
    </row>
    <row r="51" spans="1:4" x14ac:dyDescent="0.2">
      <c r="A51" s="596" t="s">
        <v>450</v>
      </c>
      <c r="B51" s="591">
        <v>48857</v>
      </c>
      <c r="C51" s="591">
        <f>752350+1</f>
        <v>752351</v>
      </c>
      <c r="D51" s="592">
        <f t="shared" si="1"/>
        <v>801208</v>
      </c>
    </row>
    <row r="52" spans="1:4" x14ac:dyDescent="0.2">
      <c r="A52" s="597"/>
      <c r="B52" s="591"/>
      <c r="C52" s="591"/>
      <c r="D52" s="592"/>
    </row>
    <row r="53" spans="1:4" x14ac:dyDescent="0.2">
      <c r="A53" s="593" t="s">
        <v>451</v>
      </c>
      <c r="B53" s="595">
        <f t="shared" ref="B53" si="5">SUM(B54:B59)</f>
        <v>494994</v>
      </c>
      <c r="C53" s="595">
        <f>SUM(C54:C59)</f>
        <v>6197909</v>
      </c>
      <c r="D53" s="587">
        <f t="shared" si="1"/>
        <v>6692903</v>
      </c>
    </row>
    <row r="54" spans="1:4" x14ac:dyDescent="0.2">
      <c r="A54" s="596" t="s">
        <v>452</v>
      </c>
      <c r="B54" s="591">
        <v>87022</v>
      </c>
      <c r="C54" s="591">
        <v>781703</v>
      </c>
      <c r="D54" s="592">
        <f t="shared" si="1"/>
        <v>868725</v>
      </c>
    </row>
    <row r="55" spans="1:4" x14ac:dyDescent="0.2">
      <c r="A55" s="596" t="s">
        <v>453</v>
      </c>
      <c r="B55" s="591">
        <v>66517</v>
      </c>
      <c r="C55" s="591">
        <v>1024313</v>
      </c>
      <c r="D55" s="592">
        <f t="shared" si="1"/>
        <v>1090830</v>
      </c>
    </row>
    <row r="56" spans="1:4" x14ac:dyDescent="0.2">
      <c r="A56" s="596" t="s">
        <v>454</v>
      </c>
      <c r="B56" s="591">
        <v>158517</v>
      </c>
      <c r="C56" s="591">
        <v>2441031</v>
      </c>
      <c r="D56" s="592">
        <f t="shared" si="1"/>
        <v>2599548</v>
      </c>
    </row>
    <row r="57" spans="1:4" x14ac:dyDescent="0.2">
      <c r="A57" s="596" t="s">
        <v>455</v>
      </c>
      <c r="B57" s="591">
        <v>76169</v>
      </c>
      <c r="C57" s="591">
        <v>684216</v>
      </c>
      <c r="D57" s="592">
        <f t="shared" si="1"/>
        <v>760385</v>
      </c>
    </row>
    <row r="58" spans="1:4" x14ac:dyDescent="0.2">
      <c r="A58" s="596" t="s">
        <v>456</v>
      </c>
      <c r="B58" s="591">
        <v>47933</v>
      </c>
      <c r="C58" s="591">
        <v>738127</v>
      </c>
      <c r="D58" s="592">
        <f t="shared" si="1"/>
        <v>786060</v>
      </c>
    </row>
    <row r="59" spans="1:4" x14ac:dyDescent="0.2">
      <c r="A59" s="596" t="s">
        <v>457</v>
      </c>
      <c r="B59" s="591">
        <v>58836</v>
      </c>
      <c r="C59" s="591">
        <v>528519</v>
      </c>
      <c r="D59" s="592">
        <f t="shared" si="1"/>
        <v>587355</v>
      </c>
    </row>
    <row r="60" spans="1:4" x14ac:dyDescent="0.2">
      <c r="A60" s="597"/>
      <c r="B60" s="591"/>
      <c r="C60" s="591"/>
      <c r="D60" s="592"/>
    </row>
    <row r="61" spans="1:4" x14ac:dyDescent="0.2">
      <c r="A61" s="593" t="s">
        <v>458</v>
      </c>
      <c r="B61" s="595">
        <f t="shared" ref="B61" si="6">SUM(B62:B65)</f>
        <v>342923</v>
      </c>
      <c r="C61" s="595">
        <f>SUM(C62:C65)</f>
        <v>4875165</v>
      </c>
      <c r="D61" s="587">
        <f t="shared" si="1"/>
        <v>5218088</v>
      </c>
    </row>
    <row r="62" spans="1:4" x14ac:dyDescent="0.2">
      <c r="A62" s="596" t="s">
        <v>459</v>
      </c>
      <c r="B62" s="591">
        <v>63211</v>
      </c>
      <c r="C62" s="591">
        <v>567819</v>
      </c>
      <c r="D62" s="592">
        <f t="shared" si="1"/>
        <v>631030</v>
      </c>
    </row>
    <row r="63" spans="1:4" x14ac:dyDescent="0.2">
      <c r="A63" s="596" t="s">
        <v>460</v>
      </c>
      <c r="B63" s="591">
        <v>66115</v>
      </c>
      <c r="C63" s="591">
        <v>1018121</v>
      </c>
      <c r="D63" s="592">
        <f t="shared" si="1"/>
        <v>1084236</v>
      </c>
    </row>
    <row r="64" spans="1:4" x14ac:dyDescent="0.2">
      <c r="A64" s="596" t="s">
        <v>461</v>
      </c>
      <c r="B64" s="591">
        <v>135442</v>
      </c>
      <c r="C64" s="591">
        <v>2085699</v>
      </c>
      <c r="D64" s="592">
        <f t="shared" si="1"/>
        <v>2221141</v>
      </c>
    </row>
    <row r="65" spans="1:4" x14ac:dyDescent="0.2">
      <c r="A65" s="596" t="s">
        <v>462</v>
      </c>
      <c r="B65" s="591">
        <v>78155</v>
      </c>
      <c r="C65" s="591">
        <v>1203526</v>
      </c>
      <c r="D65" s="592">
        <f t="shared" si="1"/>
        <v>1281681</v>
      </c>
    </row>
    <row r="66" spans="1:4" x14ac:dyDescent="0.2">
      <c r="A66" s="597"/>
      <c r="B66" s="591"/>
      <c r="C66" s="591"/>
      <c r="D66" s="592"/>
    </row>
    <row r="67" spans="1:4" x14ac:dyDescent="0.2">
      <c r="A67" s="593" t="s">
        <v>463</v>
      </c>
      <c r="B67" s="595">
        <f t="shared" ref="B67" si="7">SUM(B68:B75)</f>
        <v>695359</v>
      </c>
      <c r="C67" s="595">
        <f>SUM(C68:C75)</f>
        <v>10217338</v>
      </c>
      <c r="D67" s="587">
        <f t="shared" si="1"/>
        <v>10912697</v>
      </c>
    </row>
    <row r="68" spans="1:4" x14ac:dyDescent="0.2">
      <c r="A68" s="596" t="s">
        <v>464</v>
      </c>
      <c r="B68" s="591">
        <v>112361</v>
      </c>
      <c r="C68" s="591">
        <v>1730260</v>
      </c>
      <c r="D68" s="592">
        <f t="shared" si="1"/>
        <v>1842621</v>
      </c>
    </row>
    <row r="69" spans="1:4" x14ac:dyDescent="0.2">
      <c r="A69" s="596" t="s">
        <v>465</v>
      </c>
      <c r="B69" s="591">
        <v>80905</v>
      </c>
      <c r="C69" s="591">
        <v>1245865</v>
      </c>
      <c r="D69" s="592">
        <f t="shared" si="1"/>
        <v>1326770</v>
      </c>
    </row>
    <row r="70" spans="1:4" x14ac:dyDescent="0.2">
      <c r="A70" s="596" t="s">
        <v>466</v>
      </c>
      <c r="B70" s="591">
        <v>71693</v>
      </c>
      <c r="C70" s="591">
        <v>1104019</v>
      </c>
      <c r="D70" s="592">
        <f t="shared" si="1"/>
        <v>1175712</v>
      </c>
    </row>
    <row r="71" spans="1:4" x14ac:dyDescent="0.2">
      <c r="A71" s="596" t="s">
        <v>467</v>
      </c>
      <c r="B71" s="591">
        <v>53098</v>
      </c>
      <c r="C71" s="591">
        <v>817662</v>
      </c>
      <c r="D71" s="592">
        <f t="shared" si="1"/>
        <v>870760</v>
      </c>
    </row>
    <row r="72" spans="1:4" x14ac:dyDescent="0.2">
      <c r="A72" s="596" t="s">
        <v>468</v>
      </c>
      <c r="B72" s="591">
        <v>61374</v>
      </c>
      <c r="C72" s="591">
        <v>945111</v>
      </c>
      <c r="D72" s="592">
        <f t="shared" si="1"/>
        <v>1006485</v>
      </c>
    </row>
    <row r="73" spans="1:4" x14ac:dyDescent="0.2">
      <c r="A73" s="596" t="s">
        <v>469</v>
      </c>
      <c r="B73" s="591">
        <v>76461</v>
      </c>
      <c r="C73" s="591">
        <v>686836</v>
      </c>
      <c r="D73" s="592">
        <f t="shared" ref="D73:D135" si="8">+B73+C73</f>
        <v>763297</v>
      </c>
    </row>
    <row r="74" spans="1:4" x14ac:dyDescent="0.2">
      <c r="A74" s="596" t="s">
        <v>470</v>
      </c>
      <c r="B74" s="591">
        <v>160699</v>
      </c>
      <c r="C74" s="591">
        <v>2474628</v>
      </c>
      <c r="D74" s="592">
        <f t="shared" si="8"/>
        <v>2635327</v>
      </c>
    </row>
    <row r="75" spans="1:4" x14ac:dyDescent="0.2">
      <c r="A75" s="596" t="s">
        <v>471</v>
      </c>
      <c r="B75" s="591">
        <v>78768</v>
      </c>
      <c r="C75" s="591">
        <v>1212957</v>
      </c>
      <c r="D75" s="592">
        <f t="shared" si="8"/>
        <v>1291725</v>
      </c>
    </row>
    <row r="76" spans="1:4" x14ac:dyDescent="0.2">
      <c r="A76" s="597"/>
      <c r="B76" s="591"/>
      <c r="C76" s="591"/>
      <c r="D76" s="592"/>
    </row>
    <row r="77" spans="1:4" x14ac:dyDescent="0.2">
      <c r="A77" s="593" t="s">
        <v>472</v>
      </c>
      <c r="B77" s="595">
        <f t="shared" ref="B77" si="9">SUM(B78:B87)</f>
        <v>823832</v>
      </c>
      <c r="C77" s="595">
        <f>SUM(C78:C87)</f>
        <v>11692926</v>
      </c>
      <c r="D77" s="587">
        <f t="shared" si="8"/>
        <v>12516758</v>
      </c>
    </row>
    <row r="78" spans="1:4" x14ac:dyDescent="0.2">
      <c r="A78" s="596" t="s">
        <v>473</v>
      </c>
      <c r="B78" s="591">
        <v>79667</v>
      </c>
      <c r="C78" s="591">
        <v>715638</v>
      </c>
      <c r="D78" s="592">
        <f t="shared" si="8"/>
        <v>795305</v>
      </c>
    </row>
    <row r="79" spans="1:4" x14ac:dyDescent="0.2">
      <c r="A79" s="596" t="s">
        <v>474</v>
      </c>
      <c r="B79" s="591">
        <v>65580</v>
      </c>
      <c r="C79" s="591">
        <v>1009877</v>
      </c>
      <c r="D79" s="592">
        <f t="shared" si="8"/>
        <v>1075457</v>
      </c>
    </row>
    <row r="80" spans="1:4" x14ac:dyDescent="0.2">
      <c r="A80" s="596" t="s">
        <v>475</v>
      </c>
      <c r="B80" s="591">
        <v>75159</v>
      </c>
      <c r="C80" s="591">
        <v>675143</v>
      </c>
      <c r="D80" s="592">
        <f t="shared" si="8"/>
        <v>750302</v>
      </c>
    </row>
    <row r="81" spans="1:4" x14ac:dyDescent="0.2">
      <c r="A81" s="596" t="s">
        <v>476</v>
      </c>
      <c r="B81" s="591">
        <v>53108</v>
      </c>
      <c r="C81" s="591">
        <v>817826</v>
      </c>
      <c r="D81" s="592">
        <f t="shared" si="8"/>
        <v>870934</v>
      </c>
    </row>
    <row r="82" spans="1:4" x14ac:dyDescent="0.2">
      <c r="A82" s="596" t="s">
        <v>477</v>
      </c>
      <c r="B82" s="591">
        <v>79254</v>
      </c>
      <c r="C82" s="591">
        <v>1220445</v>
      </c>
      <c r="D82" s="592">
        <f t="shared" si="8"/>
        <v>1299699</v>
      </c>
    </row>
    <row r="83" spans="1:4" x14ac:dyDescent="0.2">
      <c r="A83" s="596" t="s">
        <v>478</v>
      </c>
      <c r="B83" s="591">
        <v>72876</v>
      </c>
      <c r="C83" s="591">
        <v>1122228</v>
      </c>
      <c r="D83" s="592">
        <f t="shared" si="8"/>
        <v>1195104</v>
      </c>
    </row>
    <row r="84" spans="1:4" x14ac:dyDescent="0.2">
      <c r="A84" s="596" t="s">
        <v>479</v>
      </c>
      <c r="B84" s="591">
        <v>55566</v>
      </c>
      <c r="C84" s="591">
        <v>855664</v>
      </c>
      <c r="D84" s="592">
        <f t="shared" si="8"/>
        <v>911230</v>
      </c>
    </row>
    <row r="85" spans="1:4" x14ac:dyDescent="0.2">
      <c r="A85" s="596" t="s">
        <v>480</v>
      </c>
      <c r="B85" s="591">
        <v>195958</v>
      </c>
      <c r="C85" s="591">
        <v>3017598</v>
      </c>
      <c r="D85" s="592">
        <f t="shared" si="8"/>
        <v>3213556</v>
      </c>
    </row>
    <row r="86" spans="1:4" x14ac:dyDescent="0.2">
      <c r="A86" s="596" t="s">
        <v>481</v>
      </c>
      <c r="B86" s="591">
        <v>64392</v>
      </c>
      <c r="C86" s="591">
        <v>991581</v>
      </c>
      <c r="D86" s="592">
        <f t="shared" si="8"/>
        <v>1055973</v>
      </c>
    </row>
    <row r="87" spans="1:4" x14ac:dyDescent="0.2">
      <c r="A87" s="596" t="s">
        <v>482</v>
      </c>
      <c r="B87" s="591">
        <v>82272</v>
      </c>
      <c r="C87" s="591">
        <f>1266925+1</f>
        <v>1266926</v>
      </c>
      <c r="D87" s="592">
        <f t="shared" si="8"/>
        <v>1349198</v>
      </c>
    </row>
    <row r="88" spans="1:4" x14ac:dyDescent="0.2">
      <c r="A88" s="597"/>
      <c r="B88" s="591"/>
      <c r="C88" s="591"/>
      <c r="D88" s="592"/>
    </row>
    <row r="89" spans="1:4" x14ac:dyDescent="0.2">
      <c r="A89" s="593" t="s">
        <v>483</v>
      </c>
      <c r="B89" s="595">
        <f t="shared" ref="B89" si="10">SUM(B90:B98)</f>
        <v>740510</v>
      </c>
      <c r="C89" s="595">
        <f>SUM(C90:C98)</f>
        <v>7301465</v>
      </c>
      <c r="D89" s="587">
        <f t="shared" si="8"/>
        <v>8041975</v>
      </c>
    </row>
    <row r="90" spans="1:4" x14ac:dyDescent="0.2">
      <c r="A90" s="596" t="s">
        <v>484</v>
      </c>
      <c r="B90" s="591">
        <v>111302</v>
      </c>
      <c r="C90" s="591">
        <v>1713955</v>
      </c>
      <c r="D90" s="592">
        <f t="shared" si="8"/>
        <v>1825257</v>
      </c>
    </row>
    <row r="91" spans="1:4" x14ac:dyDescent="0.2">
      <c r="A91" s="596" t="s">
        <v>485</v>
      </c>
      <c r="B91" s="591">
        <v>81181</v>
      </c>
      <c r="C91" s="591">
        <v>729238</v>
      </c>
      <c r="D91" s="592">
        <f t="shared" si="8"/>
        <v>810419</v>
      </c>
    </row>
    <row r="92" spans="1:4" x14ac:dyDescent="0.2">
      <c r="A92" s="596" t="s">
        <v>486</v>
      </c>
      <c r="B92" s="591">
        <v>90227</v>
      </c>
      <c r="C92" s="591">
        <v>810497</v>
      </c>
      <c r="D92" s="592">
        <f t="shared" si="8"/>
        <v>900724</v>
      </c>
    </row>
    <row r="93" spans="1:4" x14ac:dyDescent="0.2">
      <c r="A93" s="596" t="s">
        <v>487</v>
      </c>
      <c r="B93" s="591">
        <v>69437</v>
      </c>
      <c r="C93" s="591">
        <v>1069277</v>
      </c>
      <c r="D93" s="592">
        <f t="shared" si="8"/>
        <v>1138714</v>
      </c>
    </row>
    <row r="94" spans="1:4" x14ac:dyDescent="0.2">
      <c r="A94" s="596" t="s">
        <v>488</v>
      </c>
      <c r="B94" s="591">
        <v>81092</v>
      </c>
      <c r="C94" s="591">
        <v>728437</v>
      </c>
      <c r="D94" s="592">
        <f t="shared" si="8"/>
        <v>809529</v>
      </c>
    </row>
    <row r="95" spans="1:4" x14ac:dyDescent="0.2">
      <c r="A95" s="596" t="s">
        <v>489</v>
      </c>
      <c r="B95" s="591">
        <v>71297</v>
      </c>
      <c r="C95" s="591">
        <v>640450</v>
      </c>
      <c r="D95" s="592">
        <f t="shared" si="8"/>
        <v>711747</v>
      </c>
    </row>
    <row r="96" spans="1:4" x14ac:dyDescent="0.2">
      <c r="A96" s="596" t="s">
        <v>490</v>
      </c>
      <c r="B96" s="591">
        <v>69939</v>
      </c>
      <c r="C96" s="591">
        <v>628251</v>
      </c>
      <c r="D96" s="592">
        <f t="shared" si="8"/>
        <v>698190</v>
      </c>
    </row>
    <row r="97" spans="1:4" x14ac:dyDescent="0.2">
      <c r="A97" s="596" t="s">
        <v>491</v>
      </c>
      <c r="B97" s="591">
        <v>83262</v>
      </c>
      <c r="C97" s="591">
        <v>503370</v>
      </c>
      <c r="D97" s="592">
        <f t="shared" si="8"/>
        <v>586632</v>
      </c>
    </row>
    <row r="98" spans="1:4" x14ac:dyDescent="0.2">
      <c r="A98" s="596" t="s">
        <v>492</v>
      </c>
      <c r="B98" s="591">
        <v>82773</v>
      </c>
      <c r="C98" s="591">
        <f>477988+2</f>
        <v>477990</v>
      </c>
      <c r="D98" s="592">
        <f t="shared" si="8"/>
        <v>560763</v>
      </c>
    </row>
    <row r="99" spans="1:4" x14ac:dyDescent="0.2">
      <c r="A99" s="597"/>
      <c r="B99" s="591"/>
      <c r="C99" s="591"/>
      <c r="D99" s="592"/>
    </row>
    <row r="100" spans="1:4" x14ac:dyDescent="0.2">
      <c r="A100" s="593" t="s">
        <v>493</v>
      </c>
      <c r="B100" s="595">
        <f t="shared" ref="B100" si="11">SUM(B101:B109)</f>
        <v>860531</v>
      </c>
      <c r="C100" s="595">
        <f>SUM(C101:C109)</f>
        <v>17522745</v>
      </c>
      <c r="D100" s="587">
        <f t="shared" si="8"/>
        <v>18383276</v>
      </c>
    </row>
    <row r="101" spans="1:4" x14ac:dyDescent="0.2">
      <c r="A101" s="596" t="s">
        <v>494</v>
      </c>
      <c r="B101" s="591">
        <v>65811</v>
      </c>
      <c r="C101" s="591">
        <v>640979</v>
      </c>
      <c r="D101" s="592">
        <f t="shared" si="8"/>
        <v>706790</v>
      </c>
    </row>
    <row r="102" spans="1:4" x14ac:dyDescent="0.2">
      <c r="A102" s="596" t="s">
        <v>495</v>
      </c>
      <c r="B102" s="591">
        <v>129010</v>
      </c>
      <c r="C102" s="591">
        <v>1986649</v>
      </c>
      <c r="D102" s="592">
        <f t="shared" si="8"/>
        <v>2115659</v>
      </c>
    </row>
    <row r="103" spans="1:4" x14ac:dyDescent="0.2">
      <c r="A103" s="596" t="s">
        <v>496</v>
      </c>
      <c r="B103" s="591">
        <v>61282</v>
      </c>
      <c r="C103" s="591">
        <v>943692</v>
      </c>
      <c r="D103" s="592">
        <f t="shared" si="8"/>
        <v>1004974</v>
      </c>
    </row>
    <row r="104" spans="1:4" x14ac:dyDescent="0.2">
      <c r="A104" s="596" t="s">
        <v>497</v>
      </c>
      <c r="B104" s="591">
        <v>58801</v>
      </c>
      <c r="C104" s="591">
        <v>905479</v>
      </c>
      <c r="D104" s="592">
        <f t="shared" si="8"/>
        <v>964280</v>
      </c>
    </row>
    <row r="105" spans="1:4" x14ac:dyDescent="0.2">
      <c r="A105" s="596" t="s">
        <v>498</v>
      </c>
      <c r="B105" s="591">
        <v>113000</v>
      </c>
      <c r="C105" s="591">
        <v>1740111</v>
      </c>
      <c r="D105" s="592">
        <f t="shared" si="8"/>
        <v>1853111</v>
      </c>
    </row>
    <row r="106" spans="1:4" x14ac:dyDescent="0.2">
      <c r="A106" s="596" t="s">
        <v>499</v>
      </c>
      <c r="B106" s="591">
        <v>241246</v>
      </c>
      <c r="C106" s="591">
        <v>8358720</v>
      </c>
      <c r="D106" s="592">
        <f t="shared" si="8"/>
        <v>8599966</v>
      </c>
    </row>
    <row r="107" spans="1:4" x14ac:dyDescent="0.2">
      <c r="A107" s="596" t="s">
        <v>500</v>
      </c>
      <c r="B107" s="591">
        <v>59683</v>
      </c>
      <c r="C107" s="591">
        <v>919063</v>
      </c>
      <c r="D107" s="592">
        <f t="shared" si="8"/>
        <v>978746</v>
      </c>
    </row>
    <row r="108" spans="1:4" x14ac:dyDescent="0.2">
      <c r="A108" s="596" t="s">
        <v>501</v>
      </c>
      <c r="B108" s="591">
        <v>51468</v>
      </c>
      <c r="C108" s="591">
        <v>792570</v>
      </c>
      <c r="D108" s="592">
        <f t="shared" si="8"/>
        <v>844038</v>
      </c>
    </row>
    <row r="109" spans="1:4" x14ac:dyDescent="0.2">
      <c r="A109" s="596" t="s">
        <v>502</v>
      </c>
      <c r="B109" s="591">
        <v>80230</v>
      </c>
      <c r="C109" s="591">
        <v>1235482</v>
      </c>
      <c r="D109" s="592">
        <f t="shared" si="8"/>
        <v>1315712</v>
      </c>
    </row>
    <row r="110" spans="1:4" x14ac:dyDescent="0.2">
      <c r="A110" s="597"/>
      <c r="B110" s="591"/>
      <c r="C110" s="591"/>
      <c r="D110" s="592"/>
    </row>
    <row r="111" spans="1:4" x14ac:dyDescent="0.2">
      <c r="A111" s="593" t="s">
        <v>503</v>
      </c>
      <c r="B111" s="595">
        <f t="shared" ref="B111" si="12">SUM(B112:B120)</f>
        <v>708161</v>
      </c>
      <c r="C111" s="595">
        <f>SUM(C112:C120)</f>
        <v>9358729</v>
      </c>
      <c r="D111" s="587">
        <f t="shared" si="8"/>
        <v>10066890</v>
      </c>
    </row>
    <row r="112" spans="1:4" x14ac:dyDescent="0.2">
      <c r="A112" s="596" t="s">
        <v>504</v>
      </c>
      <c r="B112" s="591">
        <v>75228</v>
      </c>
      <c r="C112" s="591">
        <v>1158450</v>
      </c>
      <c r="D112" s="592">
        <f t="shared" si="8"/>
        <v>1233678</v>
      </c>
    </row>
    <row r="113" spans="1:4" x14ac:dyDescent="0.2">
      <c r="A113" s="596" t="s">
        <v>505</v>
      </c>
      <c r="B113" s="591">
        <v>179846</v>
      </c>
      <c r="C113" s="591">
        <v>2769475</v>
      </c>
      <c r="D113" s="592">
        <f t="shared" si="8"/>
        <v>2949321</v>
      </c>
    </row>
    <row r="114" spans="1:4" x14ac:dyDescent="0.2">
      <c r="A114" s="596" t="s">
        <v>506</v>
      </c>
      <c r="B114" s="591">
        <v>71982</v>
      </c>
      <c r="C114" s="591">
        <v>702086</v>
      </c>
      <c r="D114" s="592">
        <f t="shared" si="8"/>
        <v>774068</v>
      </c>
    </row>
    <row r="115" spans="1:4" x14ac:dyDescent="0.2">
      <c r="A115" s="596" t="s">
        <v>507</v>
      </c>
      <c r="B115" s="591">
        <v>67192</v>
      </c>
      <c r="C115" s="591">
        <v>1034704</v>
      </c>
      <c r="D115" s="592">
        <f t="shared" si="8"/>
        <v>1101896</v>
      </c>
    </row>
    <row r="116" spans="1:4" x14ac:dyDescent="0.2">
      <c r="A116" s="596" t="s">
        <v>508</v>
      </c>
      <c r="B116" s="591">
        <v>65840</v>
      </c>
      <c r="C116" s="591">
        <v>1013887</v>
      </c>
      <c r="D116" s="592">
        <f t="shared" si="8"/>
        <v>1079727</v>
      </c>
    </row>
    <row r="117" spans="1:4" x14ac:dyDescent="0.2">
      <c r="A117" s="596" t="s">
        <v>509</v>
      </c>
      <c r="B117" s="591">
        <v>64088</v>
      </c>
      <c r="C117" s="591">
        <v>636544</v>
      </c>
      <c r="D117" s="592">
        <f t="shared" si="8"/>
        <v>700632</v>
      </c>
    </row>
    <row r="118" spans="1:4" x14ac:dyDescent="0.2">
      <c r="A118" s="596" t="s">
        <v>510</v>
      </c>
      <c r="B118" s="591">
        <v>49274</v>
      </c>
      <c r="C118" s="591">
        <v>758774</v>
      </c>
      <c r="D118" s="592">
        <f t="shared" si="8"/>
        <v>808048</v>
      </c>
    </row>
    <row r="119" spans="1:4" x14ac:dyDescent="0.2">
      <c r="A119" s="596" t="s">
        <v>511</v>
      </c>
      <c r="B119" s="591">
        <v>63235</v>
      </c>
      <c r="C119" s="591">
        <v>568029</v>
      </c>
      <c r="D119" s="592">
        <f t="shared" si="8"/>
        <v>631264</v>
      </c>
    </row>
    <row r="120" spans="1:4" x14ac:dyDescent="0.2">
      <c r="A120" s="596" t="s">
        <v>512</v>
      </c>
      <c r="B120" s="591">
        <v>71476</v>
      </c>
      <c r="C120" s="591">
        <v>716780</v>
      </c>
      <c r="D120" s="592">
        <f t="shared" si="8"/>
        <v>788256</v>
      </c>
    </row>
    <row r="121" spans="1:4" x14ac:dyDescent="0.2">
      <c r="A121" s="597"/>
      <c r="B121" s="591"/>
      <c r="C121" s="591"/>
      <c r="D121" s="592"/>
    </row>
    <row r="122" spans="1:4" x14ac:dyDescent="0.2">
      <c r="A122" s="593" t="s">
        <v>513</v>
      </c>
      <c r="B122" s="595">
        <f t="shared" ref="B122" si="13">SUM(B123:B135)</f>
        <v>1075213</v>
      </c>
      <c r="C122" s="595">
        <f>SUM(C123:C135)</f>
        <v>15150598</v>
      </c>
      <c r="D122" s="587">
        <f t="shared" si="8"/>
        <v>16225811</v>
      </c>
    </row>
    <row r="123" spans="1:4" x14ac:dyDescent="0.2">
      <c r="A123" s="596" t="s">
        <v>514</v>
      </c>
      <c r="B123" s="591">
        <v>64761</v>
      </c>
      <c r="C123" s="591">
        <v>997266</v>
      </c>
      <c r="D123" s="592">
        <f t="shared" si="8"/>
        <v>1062027</v>
      </c>
    </row>
    <row r="124" spans="1:4" x14ac:dyDescent="0.2">
      <c r="A124" s="596" t="s">
        <v>515</v>
      </c>
      <c r="B124" s="591">
        <v>62136</v>
      </c>
      <c r="C124" s="591">
        <v>956848</v>
      </c>
      <c r="D124" s="592">
        <f t="shared" si="8"/>
        <v>1018984</v>
      </c>
    </row>
    <row r="125" spans="1:4" x14ac:dyDescent="0.2">
      <c r="A125" s="596" t="s">
        <v>516</v>
      </c>
      <c r="B125" s="591">
        <v>114998</v>
      </c>
      <c r="C125" s="591">
        <v>1770871</v>
      </c>
      <c r="D125" s="592">
        <f t="shared" si="8"/>
        <v>1885869</v>
      </c>
    </row>
    <row r="126" spans="1:4" x14ac:dyDescent="0.2">
      <c r="A126" s="596" t="s">
        <v>517</v>
      </c>
      <c r="B126" s="591">
        <v>60619</v>
      </c>
      <c r="C126" s="591">
        <v>933479</v>
      </c>
      <c r="D126" s="592">
        <f t="shared" si="8"/>
        <v>994098</v>
      </c>
    </row>
    <row r="127" spans="1:4" x14ac:dyDescent="0.2">
      <c r="A127" s="596" t="s">
        <v>518</v>
      </c>
      <c r="B127" s="591">
        <v>72777</v>
      </c>
      <c r="C127" s="591">
        <v>1120704</v>
      </c>
      <c r="D127" s="592">
        <f t="shared" si="8"/>
        <v>1193481</v>
      </c>
    </row>
    <row r="128" spans="1:4" x14ac:dyDescent="0.2">
      <c r="A128" s="596" t="s">
        <v>519</v>
      </c>
      <c r="B128" s="591">
        <v>181127</v>
      </c>
      <c r="C128" s="591">
        <v>2789202</v>
      </c>
      <c r="D128" s="592">
        <f t="shared" si="8"/>
        <v>2970329</v>
      </c>
    </row>
    <row r="129" spans="1:4" x14ac:dyDescent="0.2">
      <c r="A129" s="596" t="s">
        <v>520</v>
      </c>
      <c r="B129" s="591">
        <v>77814</v>
      </c>
      <c r="C129" s="591">
        <v>1198275</v>
      </c>
      <c r="D129" s="592">
        <f t="shared" si="8"/>
        <v>1276089</v>
      </c>
    </row>
    <row r="130" spans="1:4" x14ac:dyDescent="0.2">
      <c r="A130" s="596" t="s">
        <v>521</v>
      </c>
      <c r="B130" s="591">
        <v>67301</v>
      </c>
      <c r="C130" s="591">
        <v>1036377</v>
      </c>
      <c r="D130" s="592">
        <f t="shared" si="8"/>
        <v>1103678</v>
      </c>
    </row>
    <row r="131" spans="1:4" x14ac:dyDescent="0.2">
      <c r="A131" s="596" t="s">
        <v>522</v>
      </c>
      <c r="B131" s="591">
        <v>51270</v>
      </c>
      <c r="C131" s="591">
        <v>789516</v>
      </c>
      <c r="D131" s="592">
        <f t="shared" si="8"/>
        <v>840786</v>
      </c>
    </row>
    <row r="132" spans="1:4" x14ac:dyDescent="0.2">
      <c r="A132" s="596" t="s">
        <v>523</v>
      </c>
      <c r="B132" s="591">
        <v>78067</v>
      </c>
      <c r="C132" s="591">
        <v>782210</v>
      </c>
      <c r="D132" s="592">
        <f t="shared" si="8"/>
        <v>860277</v>
      </c>
    </row>
    <row r="133" spans="1:4" x14ac:dyDescent="0.2">
      <c r="A133" s="596" t="s">
        <v>524</v>
      </c>
      <c r="B133" s="591">
        <v>83319</v>
      </c>
      <c r="C133" s="591">
        <v>748438</v>
      </c>
      <c r="D133" s="592">
        <f t="shared" si="8"/>
        <v>831757</v>
      </c>
    </row>
    <row r="134" spans="1:4" x14ac:dyDescent="0.2">
      <c r="A134" s="596" t="s">
        <v>525</v>
      </c>
      <c r="B134" s="591">
        <v>70481</v>
      </c>
      <c r="C134" s="591">
        <v>633122</v>
      </c>
      <c r="D134" s="592">
        <f t="shared" si="8"/>
        <v>703603</v>
      </c>
    </row>
    <row r="135" spans="1:4" x14ac:dyDescent="0.2">
      <c r="A135" s="596" t="s">
        <v>526</v>
      </c>
      <c r="B135" s="591">
        <v>90543</v>
      </c>
      <c r="C135" s="591">
        <f>1394288+2</f>
        <v>1394290</v>
      </c>
      <c r="D135" s="592">
        <f t="shared" si="8"/>
        <v>1484833</v>
      </c>
    </row>
    <row r="136" spans="1:4" x14ac:dyDescent="0.2">
      <c r="A136" s="597"/>
      <c r="B136" s="591"/>
      <c r="C136" s="591"/>
      <c r="D136" s="592"/>
    </row>
    <row r="137" spans="1:4" x14ac:dyDescent="0.2">
      <c r="A137" s="593" t="s">
        <v>527</v>
      </c>
      <c r="B137" s="595">
        <f t="shared" ref="B137" si="14">SUM(B138:B149)</f>
        <v>828329</v>
      </c>
      <c r="C137" s="595">
        <f>SUM(C138:C149)</f>
        <v>10103306</v>
      </c>
      <c r="D137" s="587">
        <f t="shared" ref="D137:D193" si="15">+B137+C137</f>
        <v>10931635</v>
      </c>
    </row>
    <row r="138" spans="1:4" x14ac:dyDescent="0.2">
      <c r="A138" s="596" t="s">
        <v>528</v>
      </c>
      <c r="B138" s="591">
        <v>98351</v>
      </c>
      <c r="C138" s="591">
        <v>1514521</v>
      </c>
      <c r="D138" s="592">
        <f t="shared" si="15"/>
        <v>1612872</v>
      </c>
    </row>
    <row r="139" spans="1:4" x14ac:dyDescent="0.2">
      <c r="A139" s="596" t="s">
        <v>529</v>
      </c>
      <c r="B139" s="591">
        <v>66622</v>
      </c>
      <c r="C139" s="591">
        <v>598454</v>
      </c>
      <c r="D139" s="592">
        <f t="shared" si="15"/>
        <v>665076</v>
      </c>
    </row>
    <row r="140" spans="1:4" x14ac:dyDescent="0.2">
      <c r="A140" s="596" t="s">
        <v>530</v>
      </c>
      <c r="B140" s="591">
        <v>68603</v>
      </c>
      <c r="C140" s="591">
        <v>1056431</v>
      </c>
      <c r="D140" s="592">
        <f t="shared" si="15"/>
        <v>1125034</v>
      </c>
    </row>
    <row r="141" spans="1:4" x14ac:dyDescent="0.2">
      <c r="A141" s="596" t="s">
        <v>531</v>
      </c>
      <c r="B141" s="591">
        <v>54448</v>
      </c>
      <c r="C141" s="591">
        <v>838450</v>
      </c>
      <c r="D141" s="592">
        <f t="shared" si="15"/>
        <v>892898</v>
      </c>
    </row>
    <row r="142" spans="1:4" x14ac:dyDescent="0.2">
      <c r="A142" s="596" t="s">
        <v>532</v>
      </c>
      <c r="B142" s="591">
        <v>57619</v>
      </c>
      <c r="C142" s="591">
        <v>517584</v>
      </c>
      <c r="D142" s="592">
        <f t="shared" si="15"/>
        <v>575203</v>
      </c>
    </row>
    <row r="143" spans="1:4" x14ac:dyDescent="0.2">
      <c r="A143" s="596" t="s">
        <v>533</v>
      </c>
      <c r="B143" s="591">
        <v>41917</v>
      </c>
      <c r="C143" s="591">
        <v>645492</v>
      </c>
      <c r="D143" s="592">
        <f t="shared" si="15"/>
        <v>687409</v>
      </c>
    </row>
    <row r="144" spans="1:4" x14ac:dyDescent="0.2">
      <c r="A144" s="596" t="s">
        <v>534</v>
      </c>
      <c r="B144" s="591">
        <v>61732</v>
      </c>
      <c r="C144" s="591">
        <v>584800</v>
      </c>
      <c r="D144" s="592">
        <f t="shared" si="15"/>
        <v>646532</v>
      </c>
    </row>
    <row r="145" spans="1:4" x14ac:dyDescent="0.2">
      <c r="A145" s="596" t="s">
        <v>535</v>
      </c>
      <c r="B145" s="591">
        <v>63793</v>
      </c>
      <c r="C145" s="591">
        <v>573047</v>
      </c>
      <c r="D145" s="592">
        <f t="shared" si="15"/>
        <v>636840</v>
      </c>
    </row>
    <row r="146" spans="1:4" x14ac:dyDescent="0.2">
      <c r="A146" s="596" t="s">
        <v>536</v>
      </c>
      <c r="B146" s="591">
        <v>117681</v>
      </c>
      <c r="C146" s="591">
        <v>1812183</v>
      </c>
      <c r="D146" s="592">
        <f t="shared" si="15"/>
        <v>1929864</v>
      </c>
    </row>
    <row r="147" spans="1:4" x14ac:dyDescent="0.2">
      <c r="A147" s="596" t="s">
        <v>537</v>
      </c>
      <c r="B147" s="591">
        <v>81152</v>
      </c>
      <c r="C147" s="591">
        <v>468626</v>
      </c>
      <c r="D147" s="592">
        <f t="shared" si="15"/>
        <v>549778</v>
      </c>
    </row>
    <row r="148" spans="1:4" x14ac:dyDescent="0.2">
      <c r="A148" s="596" t="s">
        <v>538</v>
      </c>
      <c r="B148" s="591">
        <v>57303</v>
      </c>
      <c r="C148" s="591">
        <v>882416</v>
      </c>
      <c r="D148" s="592">
        <f t="shared" si="15"/>
        <v>939719</v>
      </c>
    </row>
    <row r="149" spans="1:4" x14ac:dyDescent="0.2">
      <c r="A149" s="596" t="s">
        <v>539</v>
      </c>
      <c r="B149" s="591">
        <v>59108</v>
      </c>
      <c r="C149" s="591">
        <v>611302</v>
      </c>
      <c r="D149" s="592">
        <f t="shared" si="15"/>
        <v>670410</v>
      </c>
    </row>
    <row r="150" spans="1:4" x14ac:dyDescent="0.2">
      <c r="A150" s="597"/>
      <c r="B150" s="591"/>
      <c r="C150" s="591"/>
      <c r="D150" s="592"/>
    </row>
    <row r="151" spans="1:4" x14ac:dyDescent="0.2">
      <c r="A151" s="593" t="s">
        <v>540</v>
      </c>
      <c r="B151" s="595">
        <f t="shared" ref="B151" si="16">SUM(B152:B159)</f>
        <v>746895</v>
      </c>
      <c r="C151" s="595">
        <f>SUM(C152:C159)</f>
        <v>10918006</v>
      </c>
      <c r="D151" s="587">
        <f t="shared" si="15"/>
        <v>11664901</v>
      </c>
    </row>
    <row r="152" spans="1:4" x14ac:dyDescent="0.2">
      <c r="A152" s="596" t="s">
        <v>541</v>
      </c>
      <c r="B152" s="591">
        <v>99171</v>
      </c>
      <c r="C152" s="591">
        <v>1527152</v>
      </c>
      <c r="D152" s="592">
        <f t="shared" si="15"/>
        <v>1626323</v>
      </c>
    </row>
    <row r="153" spans="1:4" x14ac:dyDescent="0.2">
      <c r="A153" s="596" t="s">
        <v>542</v>
      </c>
      <c r="B153" s="591">
        <v>138598</v>
      </c>
      <c r="C153" s="591">
        <v>2134296</v>
      </c>
      <c r="D153" s="592">
        <f t="shared" si="15"/>
        <v>2272894</v>
      </c>
    </row>
    <row r="154" spans="1:4" x14ac:dyDescent="0.2">
      <c r="A154" s="596" t="s">
        <v>543</v>
      </c>
      <c r="B154" s="591">
        <v>72698</v>
      </c>
      <c r="C154" s="591">
        <v>1119493</v>
      </c>
      <c r="D154" s="592">
        <f t="shared" si="15"/>
        <v>1192191</v>
      </c>
    </row>
    <row r="155" spans="1:4" x14ac:dyDescent="0.2">
      <c r="A155" s="596" t="s">
        <v>544</v>
      </c>
      <c r="B155" s="591">
        <v>80826</v>
      </c>
      <c r="C155" s="591">
        <v>1244659</v>
      </c>
      <c r="D155" s="592">
        <f t="shared" si="15"/>
        <v>1325485</v>
      </c>
    </row>
    <row r="156" spans="1:4" x14ac:dyDescent="0.2">
      <c r="A156" s="596" t="s">
        <v>545</v>
      </c>
      <c r="B156" s="591">
        <v>90893</v>
      </c>
      <c r="C156" s="591">
        <v>1399675</v>
      </c>
      <c r="D156" s="592">
        <f t="shared" si="15"/>
        <v>1490568</v>
      </c>
    </row>
    <row r="157" spans="1:4" x14ac:dyDescent="0.2">
      <c r="A157" s="596" t="s">
        <v>546</v>
      </c>
      <c r="B157" s="591">
        <v>100815</v>
      </c>
      <c r="C157" s="591">
        <v>1552462</v>
      </c>
      <c r="D157" s="592">
        <f t="shared" si="15"/>
        <v>1653277</v>
      </c>
    </row>
    <row r="158" spans="1:4" x14ac:dyDescent="0.2">
      <c r="A158" s="596" t="s">
        <v>547</v>
      </c>
      <c r="B158" s="591">
        <v>90949</v>
      </c>
      <c r="C158" s="591">
        <v>816977</v>
      </c>
      <c r="D158" s="592">
        <f t="shared" si="15"/>
        <v>907926</v>
      </c>
    </row>
    <row r="159" spans="1:4" x14ac:dyDescent="0.2">
      <c r="A159" s="596" t="s">
        <v>548</v>
      </c>
      <c r="B159" s="591">
        <v>72945</v>
      </c>
      <c r="C159" s="591">
        <v>1123292</v>
      </c>
      <c r="D159" s="592">
        <f t="shared" si="15"/>
        <v>1196237</v>
      </c>
    </row>
    <row r="160" spans="1:4" x14ac:dyDescent="0.2">
      <c r="A160" s="597"/>
      <c r="B160" s="591"/>
      <c r="C160" s="591"/>
      <c r="D160" s="592"/>
    </row>
    <row r="161" spans="1:4" x14ac:dyDescent="0.2">
      <c r="A161" s="593" t="s">
        <v>549</v>
      </c>
      <c r="B161" s="595">
        <f t="shared" ref="B161" si="17">SUM(B162:B173)</f>
        <v>885328</v>
      </c>
      <c r="C161" s="595">
        <f>SUM(C162:C173)</f>
        <v>12530990</v>
      </c>
      <c r="D161" s="587">
        <f t="shared" si="15"/>
        <v>13416318</v>
      </c>
    </row>
    <row r="162" spans="1:4" x14ac:dyDescent="0.2">
      <c r="A162" s="596" t="s">
        <v>550</v>
      </c>
      <c r="B162" s="591">
        <v>66370</v>
      </c>
      <c r="C162" s="591">
        <v>1022050</v>
      </c>
      <c r="D162" s="592">
        <f t="shared" si="15"/>
        <v>1088420</v>
      </c>
    </row>
    <row r="163" spans="1:4" x14ac:dyDescent="0.2">
      <c r="A163" s="596" t="s">
        <v>551</v>
      </c>
      <c r="B163" s="591">
        <v>68410</v>
      </c>
      <c r="C163" s="591">
        <v>1053453</v>
      </c>
      <c r="D163" s="592">
        <f t="shared" si="15"/>
        <v>1121863</v>
      </c>
    </row>
    <row r="164" spans="1:4" x14ac:dyDescent="0.2">
      <c r="A164" s="596" t="s">
        <v>552</v>
      </c>
      <c r="B164" s="591">
        <v>80910</v>
      </c>
      <c r="C164" s="591">
        <v>726804</v>
      </c>
      <c r="D164" s="592">
        <f t="shared" si="15"/>
        <v>807714</v>
      </c>
    </row>
    <row r="165" spans="1:4" x14ac:dyDescent="0.2">
      <c r="A165" s="596" t="s">
        <v>553</v>
      </c>
      <c r="B165" s="591">
        <v>90893</v>
      </c>
      <c r="C165" s="591">
        <v>816475</v>
      </c>
      <c r="D165" s="592">
        <f t="shared" si="15"/>
        <v>907368</v>
      </c>
    </row>
    <row r="166" spans="1:4" x14ac:dyDescent="0.2">
      <c r="A166" s="596" t="s">
        <v>554</v>
      </c>
      <c r="B166" s="591">
        <v>64938</v>
      </c>
      <c r="C166" s="591">
        <v>999995</v>
      </c>
      <c r="D166" s="592">
        <f t="shared" si="15"/>
        <v>1064933</v>
      </c>
    </row>
    <row r="167" spans="1:4" x14ac:dyDescent="0.2">
      <c r="A167" s="596" t="s">
        <v>555</v>
      </c>
      <c r="B167" s="591">
        <v>82052</v>
      </c>
      <c r="C167" s="591">
        <v>1263530</v>
      </c>
      <c r="D167" s="592">
        <f t="shared" si="15"/>
        <v>1345582</v>
      </c>
    </row>
    <row r="168" spans="1:4" x14ac:dyDescent="0.2">
      <c r="A168" s="596" t="s">
        <v>556</v>
      </c>
      <c r="B168" s="591">
        <v>43149</v>
      </c>
      <c r="C168" s="591">
        <v>664454</v>
      </c>
      <c r="D168" s="592">
        <f t="shared" si="15"/>
        <v>707603</v>
      </c>
    </row>
    <row r="169" spans="1:4" x14ac:dyDescent="0.2">
      <c r="A169" s="596" t="s">
        <v>557</v>
      </c>
      <c r="B169" s="591">
        <v>63152</v>
      </c>
      <c r="C169" s="591">
        <v>972491</v>
      </c>
      <c r="D169" s="592">
        <f t="shared" si="15"/>
        <v>1035643</v>
      </c>
    </row>
    <row r="170" spans="1:4" x14ac:dyDescent="0.2">
      <c r="A170" s="596" t="s">
        <v>558</v>
      </c>
      <c r="B170" s="591">
        <v>73126</v>
      </c>
      <c r="C170" s="591">
        <v>1126085</v>
      </c>
      <c r="D170" s="592">
        <f t="shared" si="15"/>
        <v>1199211</v>
      </c>
    </row>
    <row r="171" spans="1:4" x14ac:dyDescent="0.2">
      <c r="A171" s="596" t="s">
        <v>559</v>
      </c>
      <c r="B171" s="591">
        <v>63505</v>
      </c>
      <c r="C171" s="591">
        <v>977923</v>
      </c>
      <c r="D171" s="592">
        <f t="shared" si="15"/>
        <v>1041428</v>
      </c>
    </row>
    <row r="172" spans="1:4" x14ac:dyDescent="0.2">
      <c r="A172" s="596" t="s">
        <v>560</v>
      </c>
      <c r="B172" s="591">
        <v>106916</v>
      </c>
      <c r="C172" s="591">
        <v>1646423</v>
      </c>
      <c r="D172" s="592">
        <f t="shared" si="15"/>
        <v>1753339</v>
      </c>
    </row>
    <row r="173" spans="1:4" x14ac:dyDescent="0.2">
      <c r="A173" s="596" t="s">
        <v>561</v>
      </c>
      <c r="B173" s="591">
        <v>81907</v>
      </c>
      <c r="C173" s="591">
        <v>1261307</v>
      </c>
      <c r="D173" s="592">
        <f t="shared" si="15"/>
        <v>1343214</v>
      </c>
    </row>
    <row r="174" spans="1:4" x14ac:dyDescent="0.2">
      <c r="A174" s="597"/>
      <c r="B174" s="591"/>
      <c r="C174" s="591"/>
      <c r="D174" s="592"/>
    </row>
    <row r="175" spans="1:4" x14ac:dyDescent="0.2">
      <c r="A175" s="593" t="s">
        <v>562</v>
      </c>
      <c r="B175" s="595">
        <f t="shared" ref="B175" si="18">SUM(B176:B185)</f>
        <v>663151</v>
      </c>
      <c r="C175" s="595">
        <f>SUM(C176:C185)</f>
        <v>9040795</v>
      </c>
      <c r="D175" s="587">
        <f t="shared" si="15"/>
        <v>9703946</v>
      </c>
    </row>
    <row r="176" spans="1:4" x14ac:dyDescent="0.2">
      <c r="A176" s="596" t="s">
        <v>563</v>
      </c>
      <c r="B176" s="591">
        <v>71558</v>
      </c>
      <c r="C176" s="591">
        <v>1101939</v>
      </c>
      <c r="D176" s="592">
        <f t="shared" si="15"/>
        <v>1173497</v>
      </c>
    </row>
    <row r="177" spans="1:4" x14ac:dyDescent="0.2">
      <c r="A177" s="596" t="s">
        <v>564</v>
      </c>
      <c r="B177" s="591">
        <v>66887</v>
      </c>
      <c r="C177" s="591">
        <v>684325</v>
      </c>
      <c r="D177" s="592">
        <f t="shared" si="15"/>
        <v>751212</v>
      </c>
    </row>
    <row r="178" spans="1:4" x14ac:dyDescent="0.2">
      <c r="A178" s="596" t="s">
        <v>565</v>
      </c>
      <c r="B178" s="591">
        <v>44278</v>
      </c>
      <c r="C178" s="591">
        <v>681850</v>
      </c>
      <c r="D178" s="592">
        <f t="shared" si="15"/>
        <v>726128</v>
      </c>
    </row>
    <row r="179" spans="1:4" x14ac:dyDescent="0.2">
      <c r="A179" s="596" t="s">
        <v>566</v>
      </c>
      <c r="B179" s="591">
        <v>70351</v>
      </c>
      <c r="C179" s="591">
        <v>631953</v>
      </c>
      <c r="D179" s="592">
        <f t="shared" si="15"/>
        <v>702304</v>
      </c>
    </row>
    <row r="180" spans="1:4" x14ac:dyDescent="0.2">
      <c r="A180" s="596" t="s">
        <v>567</v>
      </c>
      <c r="B180" s="591">
        <v>65694</v>
      </c>
      <c r="C180" s="591">
        <v>637501</v>
      </c>
      <c r="D180" s="592">
        <f t="shared" si="15"/>
        <v>703195</v>
      </c>
    </row>
    <row r="181" spans="1:4" x14ac:dyDescent="0.2">
      <c r="A181" s="596" t="s">
        <v>568</v>
      </c>
      <c r="B181" s="591">
        <v>63141</v>
      </c>
      <c r="C181" s="591">
        <v>972326</v>
      </c>
      <c r="D181" s="592">
        <f t="shared" si="15"/>
        <v>1035467</v>
      </c>
    </row>
    <row r="182" spans="1:4" x14ac:dyDescent="0.2">
      <c r="A182" s="596" t="s">
        <v>569</v>
      </c>
      <c r="B182" s="591">
        <v>47315</v>
      </c>
      <c r="C182" s="591">
        <v>728616</v>
      </c>
      <c r="D182" s="592">
        <f t="shared" si="15"/>
        <v>775931</v>
      </c>
    </row>
    <row r="183" spans="1:4" x14ac:dyDescent="0.2">
      <c r="A183" s="596" t="s">
        <v>570</v>
      </c>
      <c r="B183" s="591">
        <v>112664</v>
      </c>
      <c r="C183" s="591">
        <v>1734933</v>
      </c>
      <c r="D183" s="592">
        <f t="shared" si="15"/>
        <v>1847597</v>
      </c>
    </row>
    <row r="184" spans="1:4" x14ac:dyDescent="0.2">
      <c r="A184" s="596" t="s">
        <v>571</v>
      </c>
      <c r="B184" s="591">
        <v>62898</v>
      </c>
      <c r="C184" s="591">
        <v>968577</v>
      </c>
      <c r="D184" s="592">
        <f t="shared" si="15"/>
        <v>1031475</v>
      </c>
    </row>
    <row r="185" spans="1:4" x14ac:dyDescent="0.2">
      <c r="A185" s="596" t="s">
        <v>572</v>
      </c>
      <c r="B185" s="591">
        <v>58365</v>
      </c>
      <c r="C185" s="591">
        <v>898775</v>
      </c>
      <c r="D185" s="592">
        <f t="shared" si="15"/>
        <v>957140</v>
      </c>
    </row>
    <row r="186" spans="1:4" x14ac:dyDescent="0.2">
      <c r="A186" s="597"/>
      <c r="B186" s="591"/>
      <c r="C186" s="591"/>
      <c r="D186" s="592"/>
    </row>
    <row r="187" spans="1:4" x14ac:dyDescent="0.2">
      <c r="A187" s="593" t="s">
        <v>573</v>
      </c>
      <c r="B187" s="595">
        <f t="shared" ref="B187" si="19">SUM(B188:B193)</f>
        <v>381662</v>
      </c>
      <c r="C187" s="595">
        <f>SUM(C188:C193)</f>
        <v>5426807</v>
      </c>
      <c r="D187" s="587">
        <f t="shared" si="15"/>
        <v>5808469</v>
      </c>
    </row>
    <row r="188" spans="1:4" x14ac:dyDescent="0.2">
      <c r="A188" s="596" t="s">
        <v>574</v>
      </c>
      <c r="B188" s="591">
        <v>44014</v>
      </c>
      <c r="C188" s="591">
        <v>665156</v>
      </c>
      <c r="D188" s="592">
        <f t="shared" si="15"/>
        <v>709170</v>
      </c>
    </row>
    <row r="189" spans="1:4" x14ac:dyDescent="0.2">
      <c r="A189" s="596" t="s">
        <v>575</v>
      </c>
      <c r="B189" s="591">
        <v>44568</v>
      </c>
      <c r="C189" s="591">
        <v>686303</v>
      </c>
      <c r="D189" s="592">
        <f t="shared" si="15"/>
        <v>730871</v>
      </c>
    </row>
    <row r="190" spans="1:4" x14ac:dyDescent="0.2">
      <c r="A190" s="596" t="s">
        <v>576</v>
      </c>
      <c r="B190" s="591">
        <v>52600</v>
      </c>
      <c r="C190" s="591">
        <v>809999</v>
      </c>
      <c r="D190" s="592">
        <f t="shared" si="15"/>
        <v>862599</v>
      </c>
    </row>
    <row r="191" spans="1:4" x14ac:dyDescent="0.2">
      <c r="A191" s="596" t="s">
        <v>577</v>
      </c>
      <c r="B191" s="591">
        <v>112651</v>
      </c>
      <c r="C191" s="591">
        <v>1734733</v>
      </c>
      <c r="D191" s="592">
        <f t="shared" si="15"/>
        <v>1847384</v>
      </c>
    </row>
    <row r="192" spans="1:4" x14ac:dyDescent="0.2">
      <c r="A192" s="596" t="s">
        <v>578</v>
      </c>
      <c r="B192" s="591">
        <v>58185</v>
      </c>
      <c r="C192" s="591">
        <v>896008</v>
      </c>
      <c r="D192" s="592">
        <f t="shared" si="15"/>
        <v>954193</v>
      </c>
    </row>
    <row r="193" spans="1:4" x14ac:dyDescent="0.2">
      <c r="A193" s="596" t="s">
        <v>579</v>
      </c>
      <c r="B193" s="591">
        <v>69644</v>
      </c>
      <c r="C193" s="591">
        <v>634608</v>
      </c>
      <c r="D193" s="592">
        <f t="shared" si="15"/>
        <v>704252</v>
      </c>
    </row>
    <row r="194" spans="1:4" x14ac:dyDescent="0.2">
      <c r="A194" s="596"/>
      <c r="B194" s="591"/>
      <c r="C194" s="591"/>
      <c r="D194" s="592"/>
    </row>
    <row r="195" spans="1:4" ht="9.75" customHeight="1" x14ac:dyDescent="0.2">
      <c r="A195" s="597"/>
      <c r="B195" s="591"/>
      <c r="C195" s="591"/>
      <c r="D195" s="592"/>
    </row>
    <row r="196" spans="1:4" ht="18.75" customHeight="1" x14ac:dyDescent="0.2">
      <c r="A196" s="598" t="s">
        <v>409</v>
      </c>
      <c r="B196" s="599">
        <f>+B187+B175+B161+B151+B137+B122+B111+B100+B89+B77+B67+B61+B53+B41+B26+B16+B8</f>
        <v>11983442</v>
      </c>
      <c r="C196" s="599">
        <f t="shared" ref="C196:D196" si="20">+C187+C175+C161+C151+C137+C122+C111+C100+C89+C77+C67+C61+C53+C41+C26+C16+C8</f>
        <v>163733209</v>
      </c>
      <c r="D196" s="600">
        <f t="shared" si="20"/>
        <v>175716651</v>
      </c>
    </row>
    <row r="197" spans="1:4" ht="6.75" customHeight="1" thickBot="1" x14ac:dyDescent="0.25">
      <c r="A197" s="601"/>
      <c r="B197" s="602"/>
      <c r="C197" s="602"/>
      <c r="D197" s="603"/>
    </row>
    <row r="198" spans="1:4" x14ac:dyDescent="0.2">
      <c r="A198" s="19"/>
    </row>
    <row r="199" spans="1:4" x14ac:dyDescent="0.2">
      <c r="A199" s="19"/>
      <c r="B199" s="20"/>
      <c r="C199" s="20"/>
      <c r="D199" s="20"/>
    </row>
    <row r="200" spans="1:4" x14ac:dyDescent="0.2">
      <c r="A200" s="19"/>
    </row>
    <row r="201" spans="1:4" x14ac:dyDescent="0.2">
      <c r="A201" s="19"/>
    </row>
    <row r="202" spans="1:4" x14ac:dyDescent="0.2">
      <c r="A202" s="19"/>
    </row>
    <row r="203" spans="1:4" x14ac:dyDescent="0.2">
      <c r="A203" s="19"/>
    </row>
    <row r="204" spans="1:4" x14ac:dyDescent="0.2">
      <c r="A204" s="19"/>
    </row>
    <row r="205" spans="1:4" x14ac:dyDescent="0.2">
      <c r="A205" s="19"/>
    </row>
    <row r="206" spans="1:4" x14ac:dyDescent="0.2">
      <c r="A206" s="19"/>
    </row>
    <row r="207" spans="1:4" x14ac:dyDescent="0.2">
      <c r="A207" s="19"/>
    </row>
    <row r="208" spans="1:4" x14ac:dyDescent="0.2">
      <c r="A208" s="19"/>
    </row>
    <row r="209" spans="1:1" x14ac:dyDescent="0.2">
      <c r="A209" s="19"/>
    </row>
  </sheetData>
  <mergeCells count="5">
    <mergeCell ref="A5:A6"/>
    <mergeCell ref="B5:C5"/>
    <mergeCell ref="A2:C2"/>
    <mergeCell ref="A3:D3"/>
    <mergeCell ref="A4:D4"/>
  </mergeCells>
  <printOptions horizontalCentered="1"/>
  <pageMargins left="0.59055118110236227" right="0.59055118110236227" top="1.1811023622047245" bottom="1.1023622047244095" header="0.78740157480314965" footer="0.98425196850393704"/>
  <pageSetup scale="90" orientation="portrait" r:id="rId1"/>
  <headerFooter>
    <oddHeader>&amp;R&amp;"Arial,Negrita"&amp;9Ley N&amp;Xo&amp;X. 877&amp;K00+000..................&amp;K01+000
Anexo N&amp;Xo&amp;X. III -A&amp;K00+000..............</oddHeader>
    <oddFooter>&amp;C&amp;"Arial,Negrita"&amp;9&amp;P/&amp;N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showGridLines="0" zoomScaleNormal="100" workbookViewId="0">
      <selection activeCell="A6" sqref="A6:F6"/>
    </sheetView>
  </sheetViews>
  <sheetFormatPr baseColWidth="10" defaultColWidth="11.42578125" defaultRowHeight="21.75" x14ac:dyDescent="0.55000000000000004"/>
  <cols>
    <col min="1" max="1" width="5.140625" style="26" bestFit="1" customWidth="1"/>
    <col min="2" max="2" width="10.42578125" style="26" bestFit="1" customWidth="1"/>
    <col min="3" max="3" width="84.7109375" style="26" customWidth="1"/>
    <col min="4" max="4" width="14.5703125" style="26" customWidth="1"/>
    <col min="5" max="5" width="11.42578125" style="26" bestFit="1" customWidth="1"/>
    <col min="6" max="6" width="14.5703125" style="26" customWidth="1"/>
    <col min="7" max="7" width="22.7109375" style="25" customWidth="1"/>
    <col min="8" max="16384" width="11.42578125" style="26"/>
  </cols>
  <sheetData>
    <row r="1" spans="1:7" ht="21.75" customHeight="1" x14ac:dyDescent="0.55000000000000004">
      <c r="A1" s="724" t="s">
        <v>937</v>
      </c>
      <c r="B1" s="724"/>
      <c r="C1" s="724"/>
      <c r="D1" s="724"/>
      <c r="E1" s="724"/>
      <c r="F1" s="724"/>
      <c r="G1" s="32"/>
    </row>
    <row r="2" spans="1:7" x14ac:dyDescent="0.55000000000000004">
      <c r="A2" s="725" t="s">
        <v>905</v>
      </c>
      <c r="B2" s="725"/>
      <c r="C2" s="725"/>
      <c r="D2" s="725"/>
      <c r="E2" s="725"/>
      <c r="F2" s="725"/>
      <c r="G2" s="26"/>
    </row>
    <row r="3" spans="1:7" ht="21.75" customHeight="1" x14ac:dyDescent="0.55000000000000004">
      <c r="A3" s="723" t="s">
        <v>906</v>
      </c>
      <c r="B3" s="723"/>
      <c r="C3" s="723"/>
      <c r="D3" s="723"/>
      <c r="E3" s="723"/>
      <c r="F3" s="723"/>
      <c r="G3" s="26"/>
    </row>
    <row r="4" spans="1:7" x14ac:dyDescent="0.55000000000000004">
      <c r="A4" s="726" t="s">
        <v>828</v>
      </c>
      <c r="B4" s="726" t="s">
        <v>1</v>
      </c>
      <c r="C4" s="726" t="s">
        <v>829</v>
      </c>
      <c r="D4" s="726" t="s">
        <v>867</v>
      </c>
      <c r="E4" s="726"/>
      <c r="F4" s="726"/>
      <c r="G4" s="26"/>
    </row>
    <row r="5" spans="1:7" x14ac:dyDescent="0.55000000000000004">
      <c r="A5" s="726"/>
      <c r="B5" s="726"/>
      <c r="C5" s="726"/>
      <c r="D5" s="215" t="s">
        <v>832</v>
      </c>
      <c r="E5" s="215" t="s">
        <v>833</v>
      </c>
      <c r="F5" s="215" t="s">
        <v>409</v>
      </c>
      <c r="G5" s="26"/>
    </row>
    <row r="6" spans="1:7" x14ac:dyDescent="0.55000000000000004">
      <c r="A6" s="721" t="s">
        <v>907</v>
      </c>
      <c r="B6" s="721"/>
      <c r="C6" s="721"/>
      <c r="D6" s="721"/>
      <c r="E6" s="721"/>
      <c r="F6" s="721"/>
      <c r="G6" s="26"/>
    </row>
    <row r="7" spans="1:7" x14ac:dyDescent="0.55000000000000004">
      <c r="A7" s="216">
        <v>1</v>
      </c>
      <c r="B7" s="238">
        <v>523</v>
      </c>
      <c r="C7" s="239" t="s">
        <v>908</v>
      </c>
      <c r="D7" s="217">
        <v>200000</v>
      </c>
      <c r="E7" s="217">
        <v>0</v>
      </c>
      <c r="F7" s="240">
        <f t="shared" ref="F7:F12" si="0">+E7+D7</f>
        <v>200000</v>
      </c>
      <c r="G7" s="26"/>
    </row>
    <row r="8" spans="1:7" x14ac:dyDescent="0.55000000000000004">
      <c r="A8" s="216">
        <f>+A7+1</f>
        <v>2</v>
      </c>
      <c r="B8" s="216">
        <v>529</v>
      </c>
      <c r="C8" s="241" t="s">
        <v>909</v>
      </c>
      <c r="D8" s="218">
        <v>50000</v>
      </c>
      <c r="E8" s="218">
        <v>0</v>
      </c>
      <c r="F8" s="240">
        <f t="shared" si="0"/>
        <v>50000</v>
      </c>
      <c r="G8" s="26"/>
    </row>
    <row r="9" spans="1:7" x14ac:dyDescent="0.55000000000000004">
      <c r="A9" s="216">
        <f t="shared" ref="A9:A12" si="1">+A8+1</f>
        <v>3</v>
      </c>
      <c r="B9" s="216">
        <v>529</v>
      </c>
      <c r="C9" s="241" t="s">
        <v>910</v>
      </c>
      <c r="D9" s="218">
        <v>350000</v>
      </c>
      <c r="E9" s="218">
        <v>0</v>
      </c>
      <c r="F9" s="240">
        <f t="shared" si="0"/>
        <v>350000</v>
      </c>
      <c r="G9" s="26"/>
    </row>
    <row r="10" spans="1:7" x14ac:dyDescent="0.55000000000000004">
      <c r="A10" s="216">
        <f t="shared" si="1"/>
        <v>4</v>
      </c>
      <c r="B10" s="216">
        <v>529</v>
      </c>
      <c r="C10" s="241" t="s">
        <v>911</v>
      </c>
      <c r="D10" s="218">
        <v>100000</v>
      </c>
      <c r="E10" s="218">
        <v>0</v>
      </c>
      <c r="F10" s="240">
        <f t="shared" si="0"/>
        <v>100000</v>
      </c>
      <c r="G10" s="26"/>
    </row>
    <row r="11" spans="1:7" x14ac:dyDescent="0.55000000000000004">
      <c r="A11" s="216">
        <f t="shared" si="1"/>
        <v>5</v>
      </c>
      <c r="B11" s="216">
        <v>624</v>
      </c>
      <c r="C11" s="241" t="s">
        <v>912</v>
      </c>
      <c r="D11" s="218">
        <v>0</v>
      </c>
      <c r="E11" s="240">
        <v>50000</v>
      </c>
      <c r="F11" s="240">
        <f t="shared" si="0"/>
        <v>50000</v>
      </c>
      <c r="G11" s="26"/>
    </row>
    <row r="12" spans="1:7" x14ac:dyDescent="0.55000000000000004">
      <c r="A12" s="216">
        <f t="shared" si="1"/>
        <v>6</v>
      </c>
      <c r="B12" s="216">
        <v>624</v>
      </c>
      <c r="C12" s="241" t="s">
        <v>913</v>
      </c>
      <c r="D12" s="218">
        <v>0</v>
      </c>
      <c r="E12" s="240">
        <v>25000</v>
      </c>
      <c r="F12" s="240">
        <f t="shared" si="0"/>
        <v>25000</v>
      </c>
      <c r="G12" s="26"/>
    </row>
    <row r="13" spans="1:7" x14ac:dyDescent="0.55000000000000004">
      <c r="A13" s="722" t="s">
        <v>914</v>
      </c>
      <c r="B13" s="722"/>
      <c r="C13" s="722"/>
      <c r="D13" s="242">
        <f>SUM(D7:D12)</f>
        <v>700000</v>
      </c>
      <c r="E13" s="242">
        <f>SUM(E7:E12)</f>
        <v>75000</v>
      </c>
      <c r="F13" s="242">
        <f>+D13+E13</f>
        <v>775000</v>
      </c>
      <c r="G13" s="26"/>
    </row>
    <row r="14" spans="1:7" x14ac:dyDescent="0.55000000000000004">
      <c r="A14" s="721" t="s">
        <v>915</v>
      </c>
      <c r="B14" s="721"/>
      <c r="C14" s="721"/>
      <c r="D14" s="721"/>
      <c r="E14" s="721"/>
      <c r="F14" s="721"/>
      <c r="G14" s="26"/>
    </row>
    <row r="15" spans="1:7" x14ac:dyDescent="0.55000000000000004">
      <c r="A15" s="216">
        <v>1</v>
      </c>
      <c r="B15" s="238">
        <v>523</v>
      </c>
      <c r="C15" s="239" t="s">
        <v>916</v>
      </c>
      <c r="D15" s="217">
        <v>150000</v>
      </c>
      <c r="E15" s="217">
        <v>0</v>
      </c>
      <c r="F15" s="240">
        <f>+E15+D15</f>
        <v>150000</v>
      </c>
      <c r="G15" s="26"/>
    </row>
    <row r="16" spans="1:7" x14ac:dyDescent="0.55000000000000004">
      <c r="A16" s="216">
        <f>+A15+1</f>
        <v>2</v>
      </c>
      <c r="B16" s="216">
        <v>523</v>
      </c>
      <c r="C16" s="241" t="s">
        <v>917</v>
      </c>
      <c r="D16" s="218">
        <v>100000</v>
      </c>
      <c r="E16" s="218">
        <v>0</v>
      </c>
      <c r="F16" s="240">
        <f>+E16+D16</f>
        <v>100000</v>
      </c>
      <c r="G16" s="26"/>
    </row>
    <row r="17" spans="1:7" x14ac:dyDescent="0.55000000000000004">
      <c r="A17" s="216">
        <f t="shared" ref="A17" si="2">+A16+1</f>
        <v>3</v>
      </c>
      <c r="B17" s="216">
        <v>523</v>
      </c>
      <c r="C17" s="241" t="s">
        <v>918</v>
      </c>
      <c r="D17" s="218">
        <v>100000</v>
      </c>
      <c r="E17" s="218">
        <v>0</v>
      </c>
      <c r="F17" s="240">
        <f>+E17+D17</f>
        <v>100000</v>
      </c>
      <c r="G17" s="26"/>
    </row>
    <row r="18" spans="1:7" x14ac:dyDescent="0.55000000000000004">
      <c r="A18" s="722" t="s">
        <v>914</v>
      </c>
      <c r="B18" s="722"/>
      <c r="C18" s="722"/>
      <c r="D18" s="242">
        <f>SUM(D15:D17)</f>
        <v>350000</v>
      </c>
      <c r="E18" s="242">
        <f>SUM(E15:E17)</f>
        <v>0</v>
      </c>
      <c r="F18" s="242">
        <f>+D18+E18</f>
        <v>350000</v>
      </c>
      <c r="G18" s="26"/>
    </row>
    <row r="19" spans="1:7" x14ac:dyDescent="0.55000000000000004">
      <c r="A19" s="722" t="s">
        <v>409</v>
      </c>
      <c r="B19" s="722"/>
      <c r="C19" s="722"/>
      <c r="D19" s="242">
        <f>+D13+D18</f>
        <v>1050000</v>
      </c>
      <c r="E19" s="242">
        <f>+E13+E18</f>
        <v>75000</v>
      </c>
      <c r="F19" s="242">
        <f>+D19+E19</f>
        <v>1125000</v>
      </c>
      <c r="G19" s="26"/>
    </row>
  </sheetData>
  <mergeCells count="13">
    <mergeCell ref="A3:D3"/>
    <mergeCell ref="A1:F1"/>
    <mergeCell ref="A2:F2"/>
    <mergeCell ref="E3:F3"/>
    <mergeCell ref="A4:A5"/>
    <mergeCell ref="B4:B5"/>
    <mergeCell ref="C4:C5"/>
    <mergeCell ref="D4:F4"/>
    <mergeCell ref="A6:F6"/>
    <mergeCell ref="A13:C13"/>
    <mergeCell ref="A14:F14"/>
    <mergeCell ref="A18:C18"/>
    <mergeCell ref="A19:C19"/>
  </mergeCells>
  <printOptions horizontalCentered="1"/>
  <pageMargins left="0.59055118110236227" right="0.59055118110236227" top="1.3779527559055118" bottom="1.2598425196850394" header="0.86614173228346458" footer="1.1023622047244095"/>
  <pageSetup scale="80" fitToHeight="0" orientation="landscape" r:id="rId1"/>
  <headerFooter>
    <oddHeader>&amp;R&amp;"Arial,Negrita"&amp;9Ley N&amp;Xo&amp;X. 877  &amp;K00+000 ..... .......&amp;K01+000
Anexo N&amp;Xo&amp;X. III-B&amp;K00+000..............</oddHeader>
    <oddFooter>&amp;C&amp;"Arial,Negrita"&amp;9&amp;P/&amp;N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8"/>
  <sheetViews>
    <sheetView tabSelected="1" view="pageBreakPreview" zoomScaleNormal="85" zoomScaleSheetLayoutView="100" workbookViewId="0">
      <selection activeCell="E325" sqref="E325"/>
    </sheetView>
  </sheetViews>
  <sheetFormatPr baseColWidth="10" defaultRowHeight="15" x14ac:dyDescent="0.25"/>
  <cols>
    <col min="1" max="1" width="12.140625" style="49" customWidth="1"/>
    <col min="2" max="2" width="44" style="49" customWidth="1"/>
    <col min="3" max="3" width="18" style="60" customWidth="1"/>
    <col min="4" max="4" width="19.5703125" style="49" customWidth="1"/>
    <col min="5" max="5" width="12.85546875" style="49" customWidth="1"/>
    <col min="6" max="6" width="41.85546875" style="49" customWidth="1"/>
    <col min="7" max="7" width="16.28515625" style="49" customWidth="1"/>
    <col min="8" max="8" width="19.42578125" style="49" customWidth="1"/>
    <col min="9" max="9" width="12.28515625" style="49" bestFit="1" customWidth="1"/>
    <col min="10" max="10" width="11.85546875" style="49" bestFit="1" customWidth="1"/>
    <col min="11" max="256" width="11.42578125" style="49"/>
    <col min="257" max="257" width="11.5703125" style="49" customWidth="1"/>
    <col min="258" max="258" width="58" style="49" customWidth="1"/>
    <col min="259" max="259" width="14" style="49" customWidth="1"/>
    <col min="260" max="260" width="21.5703125" style="49" customWidth="1"/>
    <col min="261" max="261" width="11.5703125" style="49" customWidth="1"/>
    <col min="262" max="262" width="58" style="49" customWidth="1"/>
    <col min="263" max="263" width="14.42578125" style="49" customWidth="1"/>
    <col min="264" max="264" width="24.42578125" style="49" customWidth="1"/>
    <col min="265" max="265" width="12.28515625" style="49" bestFit="1" customWidth="1"/>
    <col min="266" max="512" width="11.42578125" style="49"/>
    <col min="513" max="513" width="11.5703125" style="49" customWidth="1"/>
    <col min="514" max="514" width="58" style="49" customWidth="1"/>
    <col min="515" max="515" width="14" style="49" customWidth="1"/>
    <col min="516" max="516" width="21.5703125" style="49" customWidth="1"/>
    <col min="517" max="517" width="11.5703125" style="49" customWidth="1"/>
    <col min="518" max="518" width="58" style="49" customWidth="1"/>
    <col min="519" max="519" width="14.42578125" style="49" customWidth="1"/>
    <col min="520" max="520" width="24.42578125" style="49" customWidth="1"/>
    <col min="521" max="521" width="12.28515625" style="49" bestFit="1" customWidth="1"/>
    <col min="522" max="768" width="11.42578125" style="49"/>
    <col min="769" max="769" width="11.5703125" style="49" customWidth="1"/>
    <col min="770" max="770" width="58" style="49" customWidth="1"/>
    <col min="771" max="771" width="14" style="49" customWidth="1"/>
    <col min="772" max="772" width="21.5703125" style="49" customWidth="1"/>
    <col min="773" max="773" width="11.5703125" style="49" customWidth="1"/>
    <col min="774" max="774" width="58" style="49" customWidth="1"/>
    <col min="775" max="775" width="14.42578125" style="49" customWidth="1"/>
    <col min="776" max="776" width="24.42578125" style="49" customWidth="1"/>
    <col min="777" max="777" width="12.28515625" style="49" bestFit="1" customWidth="1"/>
    <col min="778" max="1024" width="11.42578125" style="49"/>
    <col min="1025" max="1025" width="11.5703125" style="49" customWidth="1"/>
    <col min="1026" max="1026" width="58" style="49" customWidth="1"/>
    <col min="1027" max="1027" width="14" style="49" customWidth="1"/>
    <col min="1028" max="1028" width="21.5703125" style="49" customWidth="1"/>
    <col min="1029" max="1029" width="11.5703125" style="49" customWidth="1"/>
    <col min="1030" max="1030" width="58" style="49" customWidth="1"/>
    <col min="1031" max="1031" width="14.42578125" style="49" customWidth="1"/>
    <col min="1032" max="1032" width="24.42578125" style="49" customWidth="1"/>
    <col min="1033" max="1033" width="12.28515625" style="49" bestFit="1" customWidth="1"/>
    <col min="1034" max="1280" width="11.42578125" style="49"/>
    <col min="1281" max="1281" width="11.5703125" style="49" customWidth="1"/>
    <col min="1282" max="1282" width="58" style="49" customWidth="1"/>
    <col min="1283" max="1283" width="14" style="49" customWidth="1"/>
    <col min="1284" max="1284" width="21.5703125" style="49" customWidth="1"/>
    <col min="1285" max="1285" width="11.5703125" style="49" customWidth="1"/>
    <col min="1286" max="1286" width="58" style="49" customWidth="1"/>
    <col min="1287" max="1287" width="14.42578125" style="49" customWidth="1"/>
    <col min="1288" max="1288" width="24.42578125" style="49" customWidth="1"/>
    <col min="1289" max="1289" width="12.28515625" style="49" bestFit="1" customWidth="1"/>
    <col min="1290" max="1536" width="11.42578125" style="49"/>
    <col min="1537" max="1537" width="11.5703125" style="49" customWidth="1"/>
    <col min="1538" max="1538" width="58" style="49" customWidth="1"/>
    <col min="1539" max="1539" width="14" style="49" customWidth="1"/>
    <col min="1540" max="1540" width="21.5703125" style="49" customWidth="1"/>
    <col min="1541" max="1541" width="11.5703125" style="49" customWidth="1"/>
    <col min="1542" max="1542" width="58" style="49" customWidth="1"/>
    <col min="1543" max="1543" width="14.42578125" style="49" customWidth="1"/>
    <col min="1544" max="1544" width="24.42578125" style="49" customWidth="1"/>
    <col min="1545" max="1545" width="12.28515625" style="49" bestFit="1" customWidth="1"/>
    <col min="1546" max="1792" width="11.42578125" style="49"/>
    <col min="1793" max="1793" width="11.5703125" style="49" customWidth="1"/>
    <col min="1794" max="1794" width="58" style="49" customWidth="1"/>
    <col min="1795" max="1795" width="14" style="49" customWidth="1"/>
    <col min="1796" max="1796" width="21.5703125" style="49" customWidth="1"/>
    <col min="1797" max="1797" width="11.5703125" style="49" customWidth="1"/>
    <col min="1798" max="1798" width="58" style="49" customWidth="1"/>
    <col min="1799" max="1799" width="14.42578125" style="49" customWidth="1"/>
    <col min="1800" max="1800" width="24.42578125" style="49" customWidth="1"/>
    <col min="1801" max="1801" width="12.28515625" style="49" bestFit="1" customWidth="1"/>
    <col min="1802" max="2048" width="11.42578125" style="49"/>
    <col min="2049" max="2049" width="11.5703125" style="49" customWidth="1"/>
    <col min="2050" max="2050" width="58" style="49" customWidth="1"/>
    <col min="2051" max="2051" width="14" style="49" customWidth="1"/>
    <col min="2052" max="2052" width="21.5703125" style="49" customWidth="1"/>
    <col min="2053" max="2053" width="11.5703125" style="49" customWidth="1"/>
    <col min="2054" max="2054" width="58" style="49" customWidth="1"/>
    <col min="2055" max="2055" width="14.42578125" style="49" customWidth="1"/>
    <col min="2056" max="2056" width="24.42578125" style="49" customWidth="1"/>
    <col min="2057" max="2057" width="12.28515625" style="49" bestFit="1" customWidth="1"/>
    <col min="2058" max="2304" width="11.42578125" style="49"/>
    <col min="2305" max="2305" width="11.5703125" style="49" customWidth="1"/>
    <col min="2306" max="2306" width="58" style="49" customWidth="1"/>
    <col min="2307" max="2307" width="14" style="49" customWidth="1"/>
    <col min="2308" max="2308" width="21.5703125" style="49" customWidth="1"/>
    <col min="2309" max="2309" width="11.5703125" style="49" customWidth="1"/>
    <col min="2310" max="2310" width="58" style="49" customWidth="1"/>
    <col min="2311" max="2311" width="14.42578125" style="49" customWidth="1"/>
    <col min="2312" max="2312" width="24.42578125" style="49" customWidth="1"/>
    <col min="2313" max="2313" width="12.28515625" style="49" bestFit="1" customWidth="1"/>
    <col min="2314" max="2560" width="11.42578125" style="49"/>
    <col min="2561" max="2561" width="11.5703125" style="49" customWidth="1"/>
    <col min="2562" max="2562" width="58" style="49" customWidth="1"/>
    <col min="2563" max="2563" width="14" style="49" customWidth="1"/>
    <col min="2564" max="2564" width="21.5703125" style="49" customWidth="1"/>
    <col min="2565" max="2565" width="11.5703125" style="49" customWidth="1"/>
    <col min="2566" max="2566" width="58" style="49" customWidth="1"/>
    <col min="2567" max="2567" width="14.42578125" style="49" customWidth="1"/>
    <col min="2568" max="2568" width="24.42578125" style="49" customWidth="1"/>
    <col min="2569" max="2569" width="12.28515625" style="49" bestFit="1" customWidth="1"/>
    <col min="2570" max="2816" width="11.42578125" style="49"/>
    <col min="2817" max="2817" width="11.5703125" style="49" customWidth="1"/>
    <col min="2818" max="2818" width="58" style="49" customWidth="1"/>
    <col min="2819" max="2819" width="14" style="49" customWidth="1"/>
    <col min="2820" max="2820" width="21.5703125" style="49" customWidth="1"/>
    <col min="2821" max="2821" width="11.5703125" style="49" customWidth="1"/>
    <col min="2822" max="2822" width="58" style="49" customWidth="1"/>
    <col min="2823" max="2823" width="14.42578125" style="49" customWidth="1"/>
    <col min="2824" max="2824" width="24.42578125" style="49" customWidth="1"/>
    <col min="2825" max="2825" width="12.28515625" style="49" bestFit="1" customWidth="1"/>
    <col min="2826" max="3072" width="11.42578125" style="49"/>
    <col min="3073" max="3073" width="11.5703125" style="49" customWidth="1"/>
    <col min="3074" max="3074" width="58" style="49" customWidth="1"/>
    <col min="3075" max="3075" width="14" style="49" customWidth="1"/>
    <col min="3076" max="3076" width="21.5703125" style="49" customWidth="1"/>
    <col min="3077" max="3077" width="11.5703125" style="49" customWidth="1"/>
    <col min="3078" max="3078" width="58" style="49" customWidth="1"/>
    <col min="3079" max="3079" width="14.42578125" style="49" customWidth="1"/>
    <col min="3080" max="3080" width="24.42578125" style="49" customWidth="1"/>
    <col min="3081" max="3081" width="12.28515625" style="49" bestFit="1" customWidth="1"/>
    <col min="3082" max="3328" width="11.42578125" style="49"/>
    <col min="3329" max="3329" width="11.5703125" style="49" customWidth="1"/>
    <col min="3330" max="3330" width="58" style="49" customWidth="1"/>
    <col min="3331" max="3331" width="14" style="49" customWidth="1"/>
    <col min="3332" max="3332" width="21.5703125" style="49" customWidth="1"/>
    <col min="3333" max="3333" width="11.5703125" style="49" customWidth="1"/>
    <col min="3334" max="3334" width="58" style="49" customWidth="1"/>
    <col min="3335" max="3335" width="14.42578125" style="49" customWidth="1"/>
    <col min="3336" max="3336" width="24.42578125" style="49" customWidth="1"/>
    <col min="3337" max="3337" width="12.28515625" style="49" bestFit="1" customWidth="1"/>
    <col min="3338" max="3584" width="11.42578125" style="49"/>
    <col min="3585" max="3585" width="11.5703125" style="49" customWidth="1"/>
    <col min="3586" max="3586" width="58" style="49" customWidth="1"/>
    <col min="3587" max="3587" width="14" style="49" customWidth="1"/>
    <col min="3588" max="3588" width="21.5703125" style="49" customWidth="1"/>
    <col min="3589" max="3589" width="11.5703125" style="49" customWidth="1"/>
    <col min="3590" max="3590" width="58" style="49" customWidth="1"/>
    <col min="3591" max="3591" width="14.42578125" style="49" customWidth="1"/>
    <col min="3592" max="3592" width="24.42578125" style="49" customWidth="1"/>
    <col min="3593" max="3593" width="12.28515625" style="49" bestFit="1" customWidth="1"/>
    <col min="3594" max="3840" width="11.42578125" style="49"/>
    <col min="3841" max="3841" width="11.5703125" style="49" customWidth="1"/>
    <col min="3842" max="3842" width="58" style="49" customWidth="1"/>
    <col min="3843" max="3843" width="14" style="49" customWidth="1"/>
    <col min="3844" max="3844" width="21.5703125" style="49" customWidth="1"/>
    <col min="3845" max="3845" width="11.5703125" style="49" customWidth="1"/>
    <col min="3846" max="3846" width="58" style="49" customWidth="1"/>
    <col min="3847" max="3847" width="14.42578125" style="49" customWidth="1"/>
    <col min="3848" max="3848" width="24.42578125" style="49" customWidth="1"/>
    <col min="3849" max="3849" width="12.28515625" style="49" bestFit="1" customWidth="1"/>
    <col min="3850" max="4096" width="11.42578125" style="49"/>
    <col min="4097" max="4097" width="11.5703125" style="49" customWidth="1"/>
    <col min="4098" max="4098" width="58" style="49" customWidth="1"/>
    <col min="4099" max="4099" width="14" style="49" customWidth="1"/>
    <col min="4100" max="4100" width="21.5703125" style="49" customWidth="1"/>
    <col min="4101" max="4101" width="11.5703125" style="49" customWidth="1"/>
    <col min="4102" max="4102" width="58" style="49" customWidth="1"/>
    <col min="4103" max="4103" width="14.42578125" style="49" customWidth="1"/>
    <col min="4104" max="4104" width="24.42578125" style="49" customWidth="1"/>
    <col min="4105" max="4105" width="12.28515625" style="49" bestFit="1" customWidth="1"/>
    <col min="4106" max="4352" width="11.42578125" style="49"/>
    <col min="4353" max="4353" width="11.5703125" style="49" customWidth="1"/>
    <col min="4354" max="4354" width="58" style="49" customWidth="1"/>
    <col min="4355" max="4355" width="14" style="49" customWidth="1"/>
    <col min="4356" max="4356" width="21.5703125" style="49" customWidth="1"/>
    <col min="4357" max="4357" width="11.5703125" style="49" customWidth="1"/>
    <col min="4358" max="4358" width="58" style="49" customWidth="1"/>
    <col min="4359" max="4359" width="14.42578125" style="49" customWidth="1"/>
    <col min="4360" max="4360" width="24.42578125" style="49" customWidth="1"/>
    <col min="4361" max="4361" width="12.28515625" style="49" bestFit="1" customWidth="1"/>
    <col min="4362" max="4608" width="11.42578125" style="49"/>
    <col min="4609" max="4609" width="11.5703125" style="49" customWidth="1"/>
    <col min="4610" max="4610" width="58" style="49" customWidth="1"/>
    <col min="4611" max="4611" width="14" style="49" customWidth="1"/>
    <col min="4612" max="4612" width="21.5703125" style="49" customWidth="1"/>
    <col min="4613" max="4613" width="11.5703125" style="49" customWidth="1"/>
    <col min="4614" max="4614" width="58" style="49" customWidth="1"/>
    <col min="4615" max="4615" width="14.42578125" style="49" customWidth="1"/>
    <col min="4616" max="4616" width="24.42578125" style="49" customWidth="1"/>
    <col min="4617" max="4617" width="12.28515625" style="49" bestFit="1" customWidth="1"/>
    <col min="4618" max="4864" width="11.42578125" style="49"/>
    <col min="4865" max="4865" width="11.5703125" style="49" customWidth="1"/>
    <col min="4866" max="4866" width="58" style="49" customWidth="1"/>
    <col min="4867" max="4867" width="14" style="49" customWidth="1"/>
    <col min="4868" max="4868" width="21.5703125" style="49" customWidth="1"/>
    <col min="4869" max="4869" width="11.5703125" style="49" customWidth="1"/>
    <col min="4870" max="4870" width="58" style="49" customWidth="1"/>
    <col min="4871" max="4871" width="14.42578125" style="49" customWidth="1"/>
    <col min="4872" max="4872" width="24.42578125" style="49" customWidth="1"/>
    <col min="4873" max="4873" width="12.28515625" style="49" bestFit="1" customWidth="1"/>
    <col min="4874" max="5120" width="11.42578125" style="49"/>
    <col min="5121" max="5121" width="11.5703125" style="49" customWidth="1"/>
    <col min="5122" max="5122" width="58" style="49" customWidth="1"/>
    <col min="5123" max="5123" width="14" style="49" customWidth="1"/>
    <col min="5124" max="5124" width="21.5703125" style="49" customWidth="1"/>
    <col min="5125" max="5125" width="11.5703125" style="49" customWidth="1"/>
    <col min="5126" max="5126" width="58" style="49" customWidth="1"/>
    <col min="5127" max="5127" width="14.42578125" style="49" customWidth="1"/>
    <col min="5128" max="5128" width="24.42578125" style="49" customWidth="1"/>
    <col min="5129" max="5129" width="12.28515625" style="49" bestFit="1" customWidth="1"/>
    <col min="5130" max="5376" width="11.42578125" style="49"/>
    <col min="5377" max="5377" width="11.5703125" style="49" customWidth="1"/>
    <col min="5378" max="5378" width="58" style="49" customWidth="1"/>
    <col min="5379" max="5379" width="14" style="49" customWidth="1"/>
    <col min="5380" max="5380" width="21.5703125" style="49" customWidth="1"/>
    <col min="5381" max="5381" width="11.5703125" style="49" customWidth="1"/>
    <col min="5382" max="5382" width="58" style="49" customWidth="1"/>
    <col min="5383" max="5383" width="14.42578125" style="49" customWidth="1"/>
    <col min="5384" max="5384" width="24.42578125" style="49" customWidth="1"/>
    <col min="5385" max="5385" width="12.28515625" style="49" bestFit="1" customWidth="1"/>
    <col min="5386" max="5632" width="11.42578125" style="49"/>
    <col min="5633" max="5633" width="11.5703125" style="49" customWidth="1"/>
    <col min="5634" max="5634" width="58" style="49" customWidth="1"/>
    <col min="5635" max="5635" width="14" style="49" customWidth="1"/>
    <col min="5636" max="5636" width="21.5703125" style="49" customWidth="1"/>
    <col min="5637" max="5637" width="11.5703125" style="49" customWidth="1"/>
    <col min="5638" max="5638" width="58" style="49" customWidth="1"/>
    <col min="5639" max="5639" width="14.42578125" style="49" customWidth="1"/>
    <col min="5640" max="5640" width="24.42578125" style="49" customWidth="1"/>
    <col min="5641" max="5641" width="12.28515625" style="49" bestFit="1" customWidth="1"/>
    <col min="5642" max="5888" width="11.42578125" style="49"/>
    <col min="5889" max="5889" width="11.5703125" style="49" customWidth="1"/>
    <col min="5890" max="5890" width="58" style="49" customWidth="1"/>
    <col min="5891" max="5891" width="14" style="49" customWidth="1"/>
    <col min="5892" max="5892" width="21.5703125" style="49" customWidth="1"/>
    <col min="5893" max="5893" width="11.5703125" style="49" customWidth="1"/>
    <col min="5894" max="5894" width="58" style="49" customWidth="1"/>
    <col min="5895" max="5895" width="14.42578125" style="49" customWidth="1"/>
    <col min="5896" max="5896" width="24.42578125" style="49" customWidth="1"/>
    <col min="5897" max="5897" width="12.28515625" style="49" bestFit="1" customWidth="1"/>
    <col min="5898" max="6144" width="11.42578125" style="49"/>
    <col min="6145" max="6145" width="11.5703125" style="49" customWidth="1"/>
    <col min="6146" max="6146" width="58" style="49" customWidth="1"/>
    <col min="6147" max="6147" width="14" style="49" customWidth="1"/>
    <col min="6148" max="6148" width="21.5703125" style="49" customWidth="1"/>
    <col min="6149" max="6149" width="11.5703125" style="49" customWidth="1"/>
    <col min="6150" max="6150" width="58" style="49" customWidth="1"/>
    <col min="6151" max="6151" width="14.42578125" style="49" customWidth="1"/>
    <col min="6152" max="6152" width="24.42578125" style="49" customWidth="1"/>
    <col min="6153" max="6153" width="12.28515625" style="49" bestFit="1" customWidth="1"/>
    <col min="6154" max="6400" width="11.42578125" style="49"/>
    <col min="6401" max="6401" width="11.5703125" style="49" customWidth="1"/>
    <col min="6402" max="6402" width="58" style="49" customWidth="1"/>
    <col min="6403" max="6403" width="14" style="49" customWidth="1"/>
    <col min="6404" max="6404" width="21.5703125" style="49" customWidth="1"/>
    <col min="6405" max="6405" width="11.5703125" style="49" customWidth="1"/>
    <col min="6406" max="6406" width="58" style="49" customWidth="1"/>
    <col min="6407" max="6407" width="14.42578125" style="49" customWidth="1"/>
    <col min="6408" max="6408" width="24.42578125" style="49" customWidth="1"/>
    <col min="6409" max="6409" width="12.28515625" style="49" bestFit="1" customWidth="1"/>
    <col min="6410" max="6656" width="11.42578125" style="49"/>
    <col min="6657" max="6657" width="11.5703125" style="49" customWidth="1"/>
    <col min="6658" max="6658" width="58" style="49" customWidth="1"/>
    <col min="6659" max="6659" width="14" style="49" customWidth="1"/>
    <col min="6660" max="6660" width="21.5703125" style="49" customWidth="1"/>
    <col min="6661" max="6661" width="11.5703125" style="49" customWidth="1"/>
    <col min="6662" max="6662" width="58" style="49" customWidth="1"/>
    <col min="6663" max="6663" width="14.42578125" style="49" customWidth="1"/>
    <col min="6664" max="6664" width="24.42578125" style="49" customWidth="1"/>
    <col min="6665" max="6665" width="12.28515625" style="49" bestFit="1" customWidth="1"/>
    <col min="6666" max="6912" width="11.42578125" style="49"/>
    <col min="6913" max="6913" width="11.5703125" style="49" customWidth="1"/>
    <col min="6914" max="6914" width="58" style="49" customWidth="1"/>
    <col min="6915" max="6915" width="14" style="49" customWidth="1"/>
    <col min="6916" max="6916" width="21.5703125" style="49" customWidth="1"/>
    <col min="6917" max="6917" width="11.5703125" style="49" customWidth="1"/>
    <col min="6918" max="6918" width="58" style="49" customWidth="1"/>
    <col min="6919" max="6919" width="14.42578125" style="49" customWidth="1"/>
    <col min="6920" max="6920" width="24.42578125" style="49" customWidth="1"/>
    <col min="6921" max="6921" width="12.28515625" style="49" bestFit="1" customWidth="1"/>
    <col min="6922" max="7168" width="11.42578125" style="49"/>
    <col min="7169" max="7169" width="11.5703125" style="49" customWidth="1"/>
    <col min="7170" max="7170" width="58" style="49" customWidth="1"/>
    <col min="7171" max="7171" width="14" style="49" customWidth="1"/>
    <col min="7172" max="7172" width="21.5703125" style="49" customWidth="1"/>
    <col min="7173" max="7173" width="11.5703125" style="49" customWidth="1"/>
    <col min="7174" max="7174" width="58" style="49" customWidth="1"/>
    <col min="7175" max="7175" width="14.42578125" style="49" customWidth="1"/>
    <col min="7176" max="7176" width="24.42578125" style="49" customWidth="1"/>
    <col min="7177" max="7177" width="12.28515625" style="49" bestFit="1" customWidth="1"/>
    <col min="7178" max="7424" width="11.42578125" style="49"/>
    <col min="7425" max="7425" width="11.5703125" style="49" customWidth="1"/>
    <col min="7426" max="7426" width="58" style="49" customWidth="1"/>
    <col min="7427" max="7427" width="14" style="49" customWidth="1"/>
    <col min="7428" max="7428" width="21.5703125" style="49" customWidth="1"/>
    <col min="7429" max="7429" width="11.5703125" style="49" customWidth="1"/>
    <col min="7430" max="7430" width="58" style="49" customWidth="1"/>
    <col min="7431" max="7431" width="14.42578125" style="49" customWidth="1"/>
    <col min="7432" max="7432" width="24.42578125" style="49" customWidth="1"/>
    <col min="7433" max="7433" width="12.28515625" style="49" bestFit="1" customWidth="1"/>
    <col min="7434" max="7680" width="11.42578125" style="49"/>
    <col min="7681" max="7681" width="11.5703125" style="49" customWidth="1"/>
    <col min="7682" max="7682" width="58" style="49" customWidth="1"/>
    <col min="7683" max="7683" width="14" style="49" customWidth="1"/>
    <col min="7684" max="7684" width="21.5703125" style="49" customWidth="1"/>
    <col min="7685" max="7685" width="11.5703125" style="49" customWidth="1"/>
    <col min="7686" max="7686" width="58" style="49" customWidth="1"/>
    <col min="7687" max="7687" width="14.42578125" style="49" customWidth="1"/>
    <col min="7688" max="7688" width="24.42578125" style="49" customWidth="1"/>
    <col min="7689" max="7689" width="12.28515625" style="49" bestFit="1" customWidth="1"/>
    <col min="7690" max="7936" width="11.42578125" style="49"/>
    <col min="7937" max="7937" width="11.5703125" style="49" customWidth="1"/>
    <col min="7938" max="7938" width="58" style="49" customWidth="1"/>
    <col min="7939" max="7939" width="14" style="49" customWidth="1"/>
    <col min="7940" max="7940" width="21.5703125" style="49" customWidth="1"/>
    <col min="7941" max="7941" width="11.5703125" style="49" customWidth="1"/>
    <col min="7942" max="7942" width="58" style="49" customWidth="1"/>
    <col min="7943" max="7943" width="14.42578125" style="49" customWidth="1"/>
    <col min="7944" max="7944" width="24.42578125" style="49" customWidth="1"/>
    <col min="7945" max="7945" width="12.28515625" style="49" bestFit="1" customWidth="1"/>
    <col min="7946" max="8192" width="11.42578125" style="49"/>
    <col min="8193" max="8193" width="11.5703125" style="49" customWidth="1"/>
    <col min="8194" max="8194" width="58" style="49" customWidth="1"/>
    <col min="8195" max="8195" width="14" style="49" customWidth="1"/>
    <col min="8196" max="8196" width="21.5703125" style="49" customWidth="1"/>
    <col min="8197" max="8197" width="11.5703125" style="49" customWidth="1"/>
    <col min="8198" max="8198" width="58" style="49" customWidth="1"/>
    <col min="8199" max="8199" width="14.42578125" style="49" customWidth="1"/>
    <col min="8200" max="8200" width="24.42578125" style="49" customWidth="1"/>
    <col min="8201" max="8201" width="12.28515625" style="49" bestFit="1" customWidth="1"/>
    <col min="8202" max="8448" width="11.42578125" style="49"/>
    <col min="8449" max="8449" width="11.5703125" style="49" customWidth="1"/>
    <col min="8450" max="8450" width="58" style="49" customWidth="1"/>
    <col min="8451" max="8451" width="14" style="49" customWidth="1"/>
    <col min="8452" max="8452" width="21.5703125" style="49" customWidth="1"/>
    <col min="8453" max="8453" width="11.5703125" style="49" customWidth="1"/>
    <col min="8454" max="8454" width="58" style="49" customWidth="1"/>
    <col min="8455" max="8455" width="14.42578125" style="49" customWidth="1"/>
    <col min="8456" max="8456" width="24.42578125" style="49" customWidth="1"/>
    <col min="8457" max="8457" width="12.28515625" style="49" bestFit="1" customWidth="1"/>
    <col min="8458" max="8704" width="11.42578125" style="49"/>
    <col min="8705" max="8705" width="11.5703125" style="49" customWidth="1"/>
    <col min="8706" max="8706" width="58" style="49" customWidth="1"/>
    <col min="8707" max="8707" width="14" style="49" customWidth="1"/>
    <col min="8708" max="8708" width="21.5703125" style="49" customWidth="1"/>
    <col min="8709" max="8709" width="11.5703125" style="49" customWidth="1"/>
    <col min="8710" max="8710" width="58" style="49" customWidth="1"/>
    <col min="8711" max="8711" width="14.42578125" style="49" customWidth="1"/>
    <col min="8712" max="8712" width="24.42578125" style="49" customWidth="1"/>
    <col min="8713" max="8713" width="12.28515625" style="49" bestFit="1" customWidth="1"/>
    <col min="8714" max="8960" width="11.42578125" style="49"/>
    <col min="8961" max="8961" width="11.5703125" style="49" customWidth="1"/>
    <col min="8962" max="8962" width="58" style="49" customWidth="1"/>
    <col min="8963" max="8963" width="14" style="49" customWidth="1"/>
    <col min="8964" max="8964" width="21.5703125" style="49" customWidth="1"/>
    <col min="8965" max="8965" width="11.5703125" style="49" customWidth="1"/>
    <col min="8966" max="8966" width="58" style="49" customWidth="1"/>
    <col min="8967" max="8967" width="14.42578125" style="49" customWidth="1"/>
    <col min="8968" max="8968" width="24.42578125" style="49" customWidth="1"/>
    <col min="8969" max="8969" width="12.28515625" style="49" bestFit="1" customWidth="1"/>
    <col min="8970" max="9216" width="11.42578125" style="49"/>
    <col min="9217" max="9217" width="11.5703125" style="49" customWidth="1"/>
    <col min="9218" max="9218" width="58" style="49" customWidth="1"/>
    <col min="9219" max="9219" width="14" style="49" customWidth="1"/>
    <col min="9220" max="9220" width="21.5703125" style="49" customWidth="1"/>
    <col min="9221" max="9221" width="11.5703125" style="49" customWidth="1"/>
    <col min="9222" max="9222" width="58" style="49" customWidth="1"/>
    <col min="9223" max="9223" width="14.42578125" style="49" customWidth="1"/>
    <col min="9224" max="9224" width="24.42578125" style="49" customWidth="1"/>
    <col min="9225" max="9225" width="12.28515625" style="49" bestFit="1" customWidth="1"/>
    <col min="9226" max="9472" width="11.42578125" style="49"/>
    <col min="9473" max="9473" width="11.5703125" style="49" customWidth="1"/>
    <col min="9474" max="9474" width="58" style="49" customWidth="1"/>
    <col min="9475" max="9475" width="14" style="49" customWidth="1"/>
    <col min="9476" max="9476" width="21.5703125" style="49" customWidth="1"/>
    <col min="9477" max="9477" width="11.5703125" style="49" customWidth="1"/>
    <col min="9478" max="9478" width="58" style="49" customWidth="1"/>
    <col min="9479" max="9479" width="14.42578125" style="49" customWidth="1"/>
    <col min="9480" max="9480" width="24.42578125" style="49" customWidth="1"/>
    <col min="9481" max="9481" width="12.28515625" style="49" bestFit="1" customWidth="1"/>
    <col min="9482" max="9728" width="11.42578125" style="49"/>
    <col min="9729" max="9729" width="11.5703125" style="49" customWidth="1"/>
    <col min="9730" max="9730" width="58" style="49" customWidth="1"/>
    <col min="9731" max="9731" width="14" style="49" customWidth="1"/>
    <col min="9732" max="9732" width="21.5703125" style="49" customWidth="1"/>
    <col min="9733" max="9733" width="11.5703125" style="49" customWidth="1"/>
    <col min="9734" max="9734" width="58" style="49" customWidth="1"/>
    <col min="9735" max="9735" width="14.42578125" style="49" customWidth="1"/>
    <col min="9736" max="9736" width="24.42578125" style="49" customWidth="1"/>
    <col min="9737" max="9737" width="12.28515625" style="49" bestFit="1" customWidth="1"/>
    <col min="9738" max="9984" width="11.42578125" style="49"/>
    <col min="9985" max="9985" width="11.5703125" style="49" customWidth="1"/>
    <col min="9986" max="9986" width="58" style="49" customWidth="1"/>
    <col min="9987" max="9987" width="14" style="49" customWidth="1"/>
    <col min="9988" max="9988" width="21.5703125" style="49" customWidth="1"/>
    <col min="9989" max="9989" width="11.5703125" style="49" customWidth="1"/>
    <col min="9990" max="9990" width="58" style="49" customWidth="1"/>
    <col min="9991" max="9991" width="14.42578125" style="49" customWidth="1"/>
    <col min="9992" max="9992" width="24.42578125" style="49" customWidth="1"/>
    <col min="9993" max="9993" width="12.28515625" style="49" bestFit="1" customWidth="1"/>
    <col min="9994" max="10240" width="11.42578125" style="49"/>
    <col min="10241" max="10241" width="11.5703125" style="49" customWidth="1"/>
    <col min="10242" max="10242" width="58" style="49" customWidth="1"/>
    <col min="10243" max="10243" width="14" style="49" customWidth="1"/>
    <col min="10244" max="10244" width="21.5703125" style="49" customWidth="1"/>
    <col min="10245" max="10245" width="11.5703125" style="49" customWidth="1"/>
    <col min="10246" max="10246" width="58" style="49" customWidth="1"/>
    <col min="10247" max="10247" width="14.42578125" style="49" customWidth="1"/>
    <col min="10248" max="10248" width="24.42578125" style="49" customWidth="1"/>
    <col min="10249" max="10249" width="12.28515625" style="49" bestFit="1" customWidth="1"/>
    <col min="10250" max="10496" width="11.42578125" style="49"/>
    <col min="10497" max="10497" width="11.5703125" style="49" customWidth="1"/>
    <col min="10498" max="10498" width="58" style="49" customWidth="1"/>
    <col min="10499" max="10499" width="14" style="49" customWidth="1"/>
    <col min="10500" max="10500" width="21.5703125" style="49" customWidth="1"/>
    <col min="10501" max="10501" width="11.5703125" style="49" customWidth="1"/>
    <col min="10502" max="10502" width="58" style="49" customWidth="1"/>
    <col min="10503" max="10503" width="14.42578125" style="49" customWidth="1"/>
    <col min="10504" max="10504" width="24.42578125" style="49" customWidth="1"/>
    <col min="10505" max="10505" width="12.28515625" style="49" bestFit="1" customWidth="1"/>
    <col min="10506" max="10752" width="11.42578125" style="49"/>
    <col min="10753" max="10753" width="11.5703125" style="49" customWidth="1"/>
    <col min="10754" max="10754" width="58" style="49" customWidth="1"/>
    <col min="10755" max="10755" width="14" style="49" customWidth="1"/>
    <col min="10756" max="10756" width="21.5703125" style="49" customWidth="1"/>
    <col min="10757" max="10757" width="11.5703125" style="49" customWidth="1"/>
    <col min="10758" max="10758" width="58" style="49" customWidth="1"/>
    <col min="10759" max="10759" width="14.42578125" style="49" customWidth="1"/>
    <col min="10760" max="10760" width="24.42578125" style="49" customWidth="1"/>
    <col min="10761" max="10761" width="12.28515625" style="49" bestFit="1" customWidth="1"/>
    <col min="10762" max="11008" width="11.42578125" style="49"/>
    <col min="11009" max="11009" width="11.5703125" style="49" customWidth="1"/>
    <col min="11010" max="11010" width="58" style="49" customWidth="1"/>
    <col min="11011" max="11011" width="14" style="49" customWidth="1"/>
    <col min="11012" max="11012" width="21.5703125" style="49" customWidth="1"/>
    <col min="11013" max="11013" width="11.5703125" style="49" customWidth="1"/>
    <col min="11014" max="11014" width="58" style="49" customWidth="1"/>
    <col min="11015" max="11015" width="14.42578125" style="49" customWidth="1"/>
    <col min="11016" max="11016" width="24.42578125" style="49" customWidth="1"/>
    <col min="11017" max="11017" width="12.28515625" style="49" bestFit="1" customWidth="1"/>
    <col min="11018" max="11264" width="11.42578125" style="49"/>
    <col min="11265" max="11265" width="11.5703125" style="49" customWidth="1"/>
    <col min="11266" max="11266" width="58" style="49" customWidth="1"/>
    <col min="11267" max="11267" width="14" style="49" customWidth="1"/>
    <col min="11268" max="11268" width="21.5703125" style="49" customWidth="1"/>
    <col min="11269" max="11269" width="11.5703125" style="49" customWidth="1"/>
    <col min="11270" max="11270" width="58" style="49" customWidth="1"/>
    <col min="11271" max="11271" width="14.42578125" style="49" customWidth="1"/>
    <col min="11272" max="11272" width="24.42578125" style="49" customWidth="1"/>
    <col min="11273" max="11273" width="12.28515625" style="49" bestFit="1" customWidth="1"/>
    <col min="11274" max="11520" width="11.42578125" style="49"/>
    <col min="11521" max="11521" width="11.5703125" style="49" customWidth="1"/>
    <col min="11522" max="11522" width="58" style="49" customWidth="1"/>
    <col min="11523" max="11523" width="14" style="49" customWidth="1"/>
    <col min="11524" max="11524" width="21.5703125" style="49" customWidth="1"/>
    <col min="11525" max="11525" width="11.5703125" style="49" customWidth="1"/>
    <col min="11526" max="11526" width="58" style="49" customWidth="1"/>
    <col min="11527" max="11527" width="14.42578125" style="49" customWidth="1"/>
    <col min="11528" max="11528" width="24.42578125" style="49" customWidth="1"/>
    <col min="11529" max="11529" width="12.28515625" style="49" bestFit="1" customWidth="1"/>
    <col min="11530" max="11776" width="11.42578125" style="49"/>
    <col min="11777" max="11777" width="11.5703125" style="49" customWidth="1"/>
    <col min="11778" max="11778" width="58" style="49" customWidth="1"/>
    <col min="11779" max="11779" width="14" style="49" customWidth="1"/>
    <col min="11780" max="11780" width="21.5703125" style="49" customWidth="1"/>
    <col min="11781" max="11781" width="11.5703125" style="49" customWidth="1"/>
    <col min="11782" max="11782" width="58" style="49" customWidth="1"/>
    <col min="11783" max="11783" width="14.42578125" style="49" customWidth="1"/>
    <col min="11784" max="11784" width="24.42578125" style="49" customWidth="1"/>
    <col min="11785" max="11785" width="12.28515625" style="49" bestFit="1" customWidth="1"/>
    <col min="11786" max="12032" width="11.42578125" style="49"/>
    <col min="12033" max="12033" width="11.5703125" style="49" customWidth="1"/>
    <col min="12034" max="12034" width="58" style="49" customWidth="1"/>
    <col min="12035" max="12035" width="14" style="49" customWidth="1"/>
    <col min="12036" max="12036" width="21.5703125" style="49" customWidth="1"/>
    <col min="12037" max="12037" width="11.5703125" style="49" customWidth="1"/>
    <col min="12038" max="12038" width="58" style="49" customWidth="1"/>
    <col min="12039" max="12039" width="14.42578125" style="49" customWidth="1"/>
    <col min="12040" max="12040" width="24.42578125" style="49" customWidth="1"/>
    <col min="12041" max="12041" width="12.28515625" style="49" bestFit="1" customWidth="1"/>
    <col min="12042" max="12288" width="11.42578125" style="49"/>
    <col min="12289" max="12289" width="11.5703125" style="49" customWidth="1"/>
    <col min="12290" max="12290" width="58" style="49" customWidth="1"/>
    <col min="12291" max="12291" width="14" style="49" customWidth="1"/>
    <col min="12292" max="12292" width="21.5703125" style="49" customWidth="1"/>
    <col min="12293" max="12293" width="11.5703125" style="49" customWidth="1"/>
    <col min="12294" max="12294" width="58" style="49" customWidth="1"/>
    <col min="12295" max="12295" width="14.42578125" style="49" customWidth="1"/>
    <col min="12296" max="12296" width="24.42578125" style="49" customWidth="1"/>
    <col min="12297" max="12297" width="12.28515625" style="49" bestFit="1" customWidth="1"/>
    <col min="12298" max="12544" width="11.42578125" style="49"/>
    <col min="12545" max="12545" width="11.5703125" style="49" customWidth="1"/>
    <col min="12546" max="12546" width="58" style="49" customWidth="1"/>
    <col min="12547" max="12547" width="14" style="49" customWidth="1"/>
    <col min="12548" max="12548" width="21.5703125" style="49" customWidth="1"/>
    <col min="12549" max="12549" width="11.5703125" style="49" customWidth="1"/>
    <col min="12550" max="12550" width="58" style="49" customWidth="1"/>
    <col min="12551" max="12551" width="14.42578125" style="49" customWidth="1"/>
    <col min="12552" max="12552" width="24.42578125" style="49" customWidth="1"/>
    <col min="12553" max="12553" width="12.28515625" style="49" bestFit="1" customWidth="1"/>
    <col min="12554" max="12800" width="11.42578125" style="49"/>
    <col min="12801" max="12801" width="11.5703125" style="49" customWidth="1"/>
    <col min="12802" max="12802" width="58" style="49" customWidth="1"/>
    <col min="12803" max="12803" width="14" style="49" customWidth="1"/>
    <col min="12804" max="12804" width="21.5703125" style="49" customWidth="1"/>
    <col min="12805" max="12805" width="11.5703125" style="49" customWidth="1"/>
    <col min="12806" max="12806" width="58" style="49" customWidth="1"/>
    <col min="12807" max="12807" width="14.42578125" style="49" customWidth="1"/>
    <col min="12808" max="12808" width="24.42578125" style="49" customWidth="1"/>
    <col min="12809" max="12809" width="12.28515625" style="49" bestFit="1" customWidth="1"/>
    <col min="12810" max="13056" width="11.42578125" style="49"/>
    <col min="13057" max="13057" width="11.5703125" style="49" customWidth="1"/>
    <col min="13058" max="13058" width="58" style="49" customWidth="1"/>
    <col min="13059" max="13059" width="14" style="49" customWidth="1"/>
    <col min="13060" max="13060" width="21.5703125" style="49" customWidth="1"/>
    <col min="13061" max="13061" width="11.5703125" style="49" customWidth="1"/>
    <col min="13062" max="13062" width="58" style="49" customWidth="1"/>
    <col min="13063" max="13063" width="14.42578125" style="49" customWidth="1"/>
    <col min="13064" max="13064" width="24.42578125" style="49" customWidth="1"/>
    <col min="13065" max="13065" width="12.28515625" style="49" bestFit="1" customWidth="1"/>
    <col min="13066" max="13312" width="11.42578125" style="49"/>
    <col min="13313" max="13313" width="11.5703125" style="49" customWidth="1"/>
    <col min="13314" max="13314" width="58" style="49" customWidth="1"/>
    <col min="13315" max="13315" width="14" style="49" customWidth="1"/>
    <col min="13316" max="13316" width="21.5703125" style="49" customWidth="1"/>
    <col min="13317" max="13317" width="11.5703125" style="49" customWidth="1"/>
    <col min="13318" max="13318" width="58" style="49" customWidth="1"/>
    <col min="13319" max="13319" width="14.42578125" style="49" customWidth="1"/>
    <col min="13320" max="13320" width="24.42578125" style="49" customWidth="1"/>
    <col min="13321" max="13321" width="12.28515625" style="49" bestFit="1" customWidth="1"/>
    <col min="13322" max="13568" width="11.42578125" style="49"/>
    <col min="13569" max="13569" width="11.5703125" style="49" customWidth="1"/>
    <col min="13570" max="13570" width="58" style="49" customWidth="1"/>
    <col min="13571" max="13571" width="14" style="49" customWidth="1"/>
    <col min="13572" max="13572" width="21.5703125" style="49" customWidth="1"/>
    <col min="13573" max="13573" width="11.5703125" style="49" customWidth="1"/>
    <col min="13574" max="13574" width="58" style="49" customWidth="1"/>
    <col min="13575" max="13575" width="14.42578125" style="49" customWidth="1"/>
    <col min="13576" max="13576" width="24.42578125" style="49" customWidth="1"/>
    <col min="13577" max="13577" width="12.28515625" style="49" bestFit="1" customWidth="1"/>
    <col min="13578" max="13824" width="11.42578125" style="49"/>
    <col min="13825" max="13825" width="11.5703125" style="49" customWidth="1"/>
    <col min="13826" max="13826" width="58" style="49" customWidth="1"/>
    <col min="13827" max="13827" width="14" style="49" customWidth="1"/>
    <col min="13828" max="13828" width="21.5703125" style="49" customWidth="1"/>
    <col min="13829" max="13829" width="11.5703125" style="49" customWidth="1"/>
    <col min="13830" max="13830" width="58" style="49" customWidth="1"/>
    <col min="13831" max="13831" width="14.42578125" style="49" customWidth="1"/>
    <col min="13832" max="13832" width="24.42578125" style="49" customWidth="1"/>
    <col min="13833" max="13833" width="12.28515625" style="49" bestFit="1" customWidth="1"/>
    <col min="13834" max="14080" width="11.42578125" style="49"/>
    <col min="14081" max="14081" width="11.5703125" style="49" customWidth="1"/>
    <col min="14082" max="14082" width="58" style="49" customWidth="1"/>
    <col min="14083" max="14083" width="14" style="49" customWidth="1"/>
    <col min="14084" max="14084" width="21.5703125" style="49" customWidth="1"/>
    <col min="14085" max="14085" width="11.5703125" style="49" customWidth="1"/>
    <col min="14086" max="14086" width="58" style="49" customWidth="1"/>
    <col min="14087" max="14087" width="14.42578125" style="49" customWidth="1"/>
    <col min="14088" max="14088" width="24.42578125" style="49" customWidth="1"/>
    <col min="14089" max="14089" width="12.28515625" style="49" bestFit="1" customWidth="1"/>
    <col min="14090" max="14336" width="11.42578125" style="49"/>
    <col min="14337" max="14337" width="11.5703125" style="49" customWidth="1"/>
    <col min="14338" max="14338" width="58" style="49" customWidth="1"/>
    <col min="14339" max="14339" width="14" style="49" customWidth="1"/>
    <col min="14340" max="14340" width="21.5703125" style="49" customWidth="1"/>
    <col min="14341" max="14341" width="11.5703125" style="49" customWidth="1"/>
    <col min="14342" max="14342" width="58" style="49" customWidth="1"/>
    <col min="14343" max="14343" width="14.42578125" style="49" customWidth="1"/>
    <col min="14344" max="14344" width="24.42578125" style="49" customWidth="1"/>
    <col min="14345" max="14345" width="12.28515625" style="49" bestFit="1" customWidth="1"/>
    <col min="14346" max="14592" width="11.42578125" style="49"/>
    <col min="14593" max="14593" width="11.5703125" style="49" customWidth="1"/>
    <col min="14594" max="14594" width="58" style="49" customWidth="1"/>
    <col min="14595" max="14595" width="14" style="49" customWidth="1"/>
    <col min="14596" max="14596" width="21.5703125" style="49" customWidth="1"/>
    <col min="14597" max="14597" width="11.5703125" style="49" customWidth="1"/>
    <col min="14598" max="14598" width="58" style="49" customWidth="1"/>
    <col min="14599" max="14599" width="14.42578125" style="49" customWidth="1"/>
    <col min="14600" max="14600" width="24.42578125" style="49" customWidth="1"/>
    <col min="14601" max="14601" width="12.28515625" style="49" bestFit="1" customWidth="1"/>
    <col min="14602" max="14848" width="11.42578125" style="49"/>
    <col min="14849" max="14849" width="11.5703125" style="49" customWidth="1"/>
    <col min="14850" max="14850" width="58" style="49" customWidth="1"/>
    <col min="14851" max="14851" width="14" style="49" customWidth="1"/>
    <col min="14852" max="14852" width="21.5703125" style="49" customWidth="1"/>
    <col min="14853" max="14853" width="11.5703125" style="49" customWidth="1"/>
    <col min="14854" max="14854" width="58" style="49" customWidth="1"/>
    <col min="14855" max="14855" width="14.42578125" style="49" customWidth="1"/>
    <col min="14856" max="14856" width="24.42578125" style="49" customWidth="1"/>
    <col min="14857" max="14857" width="12.28515625" style="49" bestFit="1" customWidth="1"/>
    <col min="14858" max="15104" width="11.42578125" style="49"/>
    <col min="15105" max="15105" width="11.5703125" style="49" customWidth="1"/>
    <col min="15106" max="15106" width="58" style="49" customWidth="1"/>
    <col min="15107" max="15107" width="14" style="49" customWidth="1"/>
    <col min="15108" max="15108" width="21.5703125" style="49" customWidth="1"/>
    <col min="15109" max="15109" width="11.5703125" style="49" customWidth="1"/>
    <col min="15110" max="15110" width="58" style="49" customWidth="1"/>
    <col min="15111" max="15111" width="14.42578125" style="49" customWidth="1"/>
    <col min="15112" max="15112" width="24.42578125" style="49" customWidth="1"/>
    <col min="15113" max="15113" width="12.28515625" style="49" bestFit="1" customWidth="1"/>
    <col min="15114" max="15360" width="11.42578125" style="49"/>
    <col min="15361" max="15361" width="11.5703125" style="49" customWidth="1"/>
    <col min="15362" max="15362" width="58" style="49" customWidth="1"/>
    <col min="15363" max="15363" width="14" style="49" customWidth="1"/>
    <col min="15364" max="15364" width="21.5703125" style="49" customWidth="1"/>
    <col min="15365" max="15365" width="11.5703125" style="49" customWidth="1"/>
    <col min="15366" max="15366" width="58" style="49" customWidth="1"/>
    <col min="15367" max="15367" width="14.42578125" style="49" customWidth="1"/>
    <col min="15368" max="15368" width="24.42578125" style="49" customWidth="1"/>
    <col min="15369" max="15369" width="12.28515625" style="49" bestFit="1" customWidth="1"/>
    <col min="15370" max="15616" width="11.42578125" style="49"/>
    <col min="15617" max="15617" width="11.5703125" style="49" customWidth="1"/>
    <col min="15618" max="15618" width="58" style="49" customWidth="1"/>
    <col min="15619" max="15619" width="14" style="49" customWidth="1"/>
    <col min="15620" max="15620" width="21.5703125" style="49" customWidth="1"/>
    <col min="15621" max="15621" width="11.5703125" style="49" customWidth="1"/>
    <col min="15622" max="15622" width="58" style="49" customWidth="1"/>
    <col min="15623" max="15623" width="14.42578125" style="49" customWidth="1"/>
    <col min="15624" max="15624" width="24.42578125" style="49" customWidth="1"/>
    <col min="15625" max="15625" width="12.28515625" style="49" bestFit="1" customWidth="1"/>
    <col min="15626" max="15872" width="11.42578125" style="49"/>
    <col min="15873" max="15873" width="11.5703125" style="49" customWidth="1"/>
    <col min="15874" max="15874" width="58" style="49" customWidth="1"/>
    <col min="15875" max="15875" width="14" style="49" customWidth="1"/>
    <col min="15876" max="15876" width="21.5703125" style="49" customWidth="1"/>
    <col min="15877" max="15877" width="11.5703125" style="49" customWidth="1"/>
    <col min="15878" max="15878" width="58" style="49" customWidth="1"/>
    <col min="15879" max="15879" width="14.42578125" style="49" customWidth="1"/>
    <col min="15880" max="15880" width="24.42578125" style="49" customWidth="1"/>
    <col min="15881" max="15881" width="12.28515625" style="49" bestFit="1" customWidth="1"/>
    <col min="15882" max="16128" width="11.42578125" style="49"/>
    <col min="16129" max="16129" width="11.5703125" style="49" customWidth="1"/>
    <col min="16130" max="16130" width="58" style="49" customWidth="1"/>
    <col min="16131" max="16131" width="14" style="49" customWidth="1"/>
    <col min="16132" max="16132" width="21.5703125" style="49" customWidth="1"/>
    <col min="16133" max="16133" width="11.5703125" style="49" customWidth="1"/>
    <col min="16134" max="16134" width="58" style="49" customWidth="1"/>
    <col min="16135" max="16135" width="14.42578125" style="49" customWidth="1"/>
    <col min="16136" max="16136" width="24.42578125" style="49" customWidth="1"/>
    <col min="16137" max="16137" width="12.28515625" style="49" bestFit="1" customWidth="1"/>
    <col min="16138" max="16384" width="11.42578125" style="49"/>
  </cols>
  <sheetData>
    <row r="1" spans="1:10" ht="14.25" customHeight="1" x14ac:dyDescent="0.25">
      <c r="A1" s="727" t="s">
        <v>944</v>
      </c>
      <c r="B1" s="727"/>
      <c r="C1" s="727"/>
      <c r="D1" s="727"/>
      <c r="E1" s="727"/>
      <c r="F1" s="727"/>
      <c r="G1" s="727"/>
      <c r="H1" s="727"/>
    </row>
    <row r="2" spans="1:10" x14ac:dyDescent="0.25">
      <c r="A2" s="728" t="s">
        <v>5</v>
      </c>
      <c r="B2" s="728"/>
      <c r="C2" s="728"/>
      <c r="D2" s="728"/>
      <c r="E2" s="728"/>
      <c r="F2" s="728"/>
      <c r="G2" s="728"/>
      <c r="H2" s="728"/>
    </row>
    <row r="3" spans="1:10" x14ac:dyDescent="0.25">
      <c r="A3" s="728" t="s">
        <v>0</v>
      </c>
      <c r="B3" s="728"/>
      <c r="C3" s="728"/>
      <c r="D3" s="728"/>
      <c r="E3" s="728"/>
      <c r="F3" s="728"/>
      <c r="G3" s="728"/>
      <c r="H3" s="728"/>
    </row>
    <row r="4" spans="1:10" thickBot="1" x14ac:dyDescent="0.25">
      <c r="A4" s="577"/>
      <c r="B4" s="577"/>
      <c r="C4" s="578"/>
      <c r="D4" s="577"/>
      <c r="E4" s="577"/>
      <c r="F4" s="577"/>
      <c r="G4" s="577"/>
      <c r="H4" s="577"/>
    </row>
    <row r="5" spans="1:10" ht="45" customHeight="1" x14ac:dyDescent="0.2">
      <c r="A5" s="450" t="s">
        <v>953</v>
      </c>
      <c r="B5" s="451" t="s">
        <v>7</v>
      </c>
      <c r="C5" s="452" t="s">
        <v>8</v>
      </c>
      <c r="D5" s="453" t="s">
        <v>629</v>
      </c>
      <c r="E5" s="453" t="s">
        <v>953</v>
      </c>
      <c r="F5" s="451" t="s">
        <v>9</v>
      </c>
      <c r="G5" s="452" t="s">
        <v>8</v>
      </c>
      <c r="H5" s="454" t="s">
        <v>629</v>
      </c>
    </row>
    <row r="6" spans="1:10" ht="15.75" thickBot="1" x14ac:dyDescent="0.3">
      <c r="A6" s="445"/>
      <c r="B6" s="576"/>
      <c r="C6" s="446"/>
      <c r="D6" s="447"/>
      <c r="E6" s="448"/>
      <c r="F6" s="448"/>
      <c r="G6" s="448"/>
      <c r="H6" s="449"/>
    </row>
    <row r="7" spans="1:10" x14ac:dyDescent="0.2">
      <c r="A7" s="441"/>
      <c r="B7" s="442"/>
      <c r="C7" s="443"/>
      <c r="D7" s="442"/>
      <c r="E7" s="442"/>
      <c r="F7" s="442"/>
      <c r="G7" s="442"/>
      <c r="H7" s="444"/>
    </row>
    <row r="8" spans="1:10" ht="15" customHeight="1" x14ac:dyDescent="0.2">
      <c r="A8" s="244"/>
      <c r="B8" s="244" t="s">
        <v>630</v>
      </c>
      <c r="C8" s="245">
        <f>+C9</f>
        <v>5734726</v>
      </c>
      <c r="D8" s="246"/>
      <c r="E8" s="247"/>
      <c r="F8" s="248" t="s">
        <v>630</v>
      </c>
      <c r="G8" s="249">
        <f>+G9+G12</f>
        <v>5734726</v>
      </c>
      <c r="H8" s="245"/>
      <c r="I8" s="51"/>
      <c r="J8" s="52"/>
    </row>
    <row r="9" spans="1:10" ht="12.75" x14ac:dyDescent="0.2">
      <c r="A9" s="250"/>
      <c r="B9" s="250" t="s">
        <v>66</v>
      </c>
      <c r="C9" s="251">
        <f>SUM(C11:C19)</f>
        <v>5734726</v>
      </c>
      <c r="D9" s="250"/>
      <c r="E9" s="252"/>
      <c r="F9" s="250" t="s">
        <v>66</v>
      </c>
      <c r="G9" s="253">
        <f>SUM(G10)</f>
        <v>2413410</v>
      </c>
      <c r="H9" s="252"/>
      <c r="I9" s="52"/>
      <c r="J9" s="52"/>
    </row>
    <row r="10" spans="1:10" ht="12.75" x14ac:dyDescent="0.2">
      <c r="A10" s="250"/>
      <c r="B10" s="250"/>
      <c r="C10" s="251"/>
      <c r="D10" s="250"/>
      <c r="E10" s="254">
        <v>114</v>
      </c>
      <c r="F10" s="252" t="s">
        <v>159</v>
      </c>
      <c r="G10" s="255">
        <v>2413410</v>
      </c>
      <c r="H10" s="259" t="s">
        <v>68</v>
      </c>
      <c r="I10" s="52"/>
      <c r="J10" s="52"/>
    </row>
    <row r="11" spans="1:10" ht="12.75" x14ac:dyDescent="0.2">
      <c r="A11" s="254">
        <v>216</v>
      </c>
      <c r="B11" s="256" t="s">
        <v>631</v>
      </c>
      <c r="C11" s="257">
        <v>769520</v>
      </c>
      <c r="D11" s="258" t="s">
        <v>68</v>
      </c>
      <c r="E11" s="252"/>
      <c r="F11" s="252"/>
      <c r="G11" s="252"/>
      <c r="H11" s="259"/>
      <c r="I11" s="52"/>
      <c r="J11" s="52"/>
    </row>
    <row r="12" spans="1:10" ht="12.75" x14ac:dyDescent="0.2">
      <c r="A12" s="254">
        <v>249</v>
      </c>
      <c r="B12" s="259" t="s">
        <v>82</v>
      </c>
      <c r="C12" s="257">
        <v>764063</v>
      </c>
      <c r="D12" s="252" t="s">
        <v>359</v>
      </c>
      <c r="E12" s="250"/>
      <c r="F12" s="250" t="s">
        <v>94</v>
      </c>
      <c r="G12" s="251">
        <f>+G14+G18</f>
        <v>3321316</v>
      </c>
      <c r="H12" s="259"/>
      <c r="I12" s="52"/>
      <c r="J12" s="52"/>
    </row>
    <row r="13" spans="1:10" ht="12.75" x14ac:dyDescent="0.2">
      <c r="A13" s="254">
        <v>253</v>
      </c>
      <c r="B13" s="256" t="s">
        <v>284</v>
      </c>
      <c r="C13" s="257">
        <v>1227806</v>
      </c>
      <c r="D13" s="258" t="s">
        <v>68</v>
      </c>
      <c r="E13" s="250"/>
      <c r="F13" s="250"/>
      <c r="G13" s="257"/>
      <c r="H13" s="259"/>
      <c r="I13" s="52"/>
      <c r="J13" s="52"/>
    </row>
    <row r="14" spans="1:10" ht="12.75" x14ac:dyDescent="0.2">
      <c r="A14" s="254">
        <v>299</v>
      </c>
      <c r="B14" s="259" t="s">
        <v>272</v>
      </c>
      <c r="C14" s="257">
        <v>654437</v>
      </c>
      <c r="D14" s="252" t="s">
        <v>359</v>
      </c>
      <c r="E14" s="254"/>
      <c r="F14" s="250" t="s">
        <v>632</v>
      </c>
      <c r="G14" s="260">
        <f>+G15</f>
        <v>1418500</v>
      </c>
      <c r="H14" s="259"/>
      <c r="I14" s="52"/>
      <c r="J14" s="52"/>
    </row>
    <row r="15" spans="1:10" ht="25.5" x14ac:dyDescent="0.2">
      <c r="A15" s="254">
        <v>344</v>
      </c>
      <c r="B15" s="256" t="s">
        <v>633</v>
      </c>
      <c r="C15" s="257">
        <v>100000</v>
      </c>
      <c r="D15" s="261" t="s">
        <v>68</v>
      </c>
      <c r="E15" s="262">
        <v>434</v>
      </c>
      <c r="F15" s="263" t="s">
        <v>208</v>
      </c>
      <c r="G15" s="264">
        <v>1418500</v>
      </c>
      <c r="H15" s="259" t="s">
        <v>634</v>
      </c>
      <c r="I15" s="52"/>
      <c r="J15" s="52"/>
    </row>
    <row r="16" spans="1:10" ht="12.75" x14ac:dyDescent="0.2">
      <c r="A16" s="254">
        <v>362</v>
      </c>
      <c r="B16" s="256" t="s">
        <v>86</v>
      </c>
      <c r="C16" s="265">
        <v>1767423</v>
      </c>
      <c r="D16" s="261" t="s">
        <v>68</v>
      </c>
      <c r="E16" s="254"/>
      <c r="F16" s="252"/>
      <c r="G16" s="257"/>
      <c r="H16" s="259"/>
      <c r="I16" s="52"/>
      <c r="J16" s="52"/>
    </row>
    <row r="17" spans="1:10" ht="12.75" x14ac:dyDescent="0.2">
      <c r="A17" s="254">
        <v>367</v>
      </c>
      <c r="B17" s="266" t="s">
        <v>163</v>
      </c>
      <c r="C17" s="265">
        <v>140000</v>
      </c>
      <c r="D17" s="258" t="s">
        <v>68</v>
      </c>
      <c r="E17" s="254"/>
      <c r="F17" s="267" t="s">
        <v>73</v>
      </c>
      <c r="G17" s="251">
        <f>+G18</f>
        <v>1902816</v>
      </c>
      <c r="H17" s="259"/>
      <c r="I17" s="52"/>
      <c r="J17" s="52"/>
    </row>
    <row r="18" spans="1:10" ht="39.75" customHeight="1" x14ac:dyDescent="0.2">
      <c r="A18" s="254">
        <v>393</v>
      </c>
      <c r="B18" s="266" t="s">
        <v>87</v>
      </c>
      <c r="C18" s="265">
        <v>140000</v>
      </c>
      <c r="D18" s="261" t="s">
        <v>68</v>
      </c>
      <c r="E18" s="254"/>
      <c r="F18" s="256" t="s">
        <v>635</v>
      </c>
      <c r="G18" s="257">
        <v>1902816</v>
      </c>
      <c r="H18" s="259" t="s">
        <v>68</v>
      </c>
      <c r="I18" s="52"/>
      <c r="J18" s="52"/>
    </row>
    <row r="19" spans="1:10" x14ac:dyDescent="0.2">
      <c r="A19" s="254">
        <v>396</v>
      </c>
      <c r="B19" s="266" t="s">
        <v>150</v>
      </c>
      <c r="C19" s="265">
        <v>171477</v>
      </c>
      <c r="D19" s="258" t="s">
        <v>68</v>
      </c>
      <c r="E19" s="268"/>
      <c r="F19" s="269"/>
      <c r="G19" s="270"/>
      <c r="H19" s="259"/>
      <c r="I19" s="50"/>
      <c r="J19" s="52"/>
    </row>
    <row r="20" spans="1:10" ht="15" customHeight="1" x14ac:dyDescent="0.2">
      <c r="A20" s="268"/>
      <c r="B20" s="268"/>
      <c r="C20" s="265"/>
      <c r="D20" s="258"/>
      <c r="E20" s="268"/>
      <c r="F20" s="269"/>
      <c r="G20" s="270"/>
      <c r="H20" s="259"/>
      <c r="I20" s="50"/>
      <c r="J20" s="52"/>
    </row>
    <row r="21" spans="1:10" ht="15" customHeight="1" x14ac:dyDescent="0.25">
      <c r="A21" s="268"/>
      <c r="B21" s="271" t="s">
        <v>954</v>
      </c>
      <c r="C21" s="272">
        <f>+C22</f>
        <v>900000</v>
      </c>
      <c r="D21" s="259"/>
      <c r="E21" s="268"/>
      <c r="F21" s="271" t="s">
        <v>636</v>
      </c>
      <c r="G21" s="273">
        <f>+G22+G24</f>
        <v>900000</v>
      </c>
      <c r="H21" s="259"/>
      <c r="I21" s="50"/>
      <c r="J21" s="52"/>
    </row>
    <row r="22" spans="1:10" ht="15" customHeight="1" x14ac:dyDescent="0.2">
      <c r="A22" s="252"/>
      <c r="B22" s="250" t="s">
        <v>66</v>
      </c>
      <c r="C22" s="253">
        <f>SUM(C23:C25)</f>
        <v>900000</v>
      </c>
      <c r="D22" s="259"/>
      <c r="E22" s="252"/>
      <c r="F22" s="250" t="s">
        <v>66</v>
      </c>
      <c r="G22" s="253">
        <f>SUM(G23)</f>
        <v>100000</v>
      </c>
      <c r="H22" s="259"/>
      <c r="I22" s="50"/>
      <c r="J22" s="52"/>
    </row>
    <row r="23" spans="1:10" ht="25.5" x14ac:dyDescent="0.2">
      <c r="A23" s="254">
        <v>119</v>
      </c>
      <c r="B23" s="266" t="s">
        <v>946</v>
      </c>
      <c r="C23" s="459">
        <v>100000</v>
      </c>
      <c r="D23" s="266" t="s">
        <v>68</v>
      </c>
      <c r="E23" s="266">
        <v>221</v>
      </c>
      <c r="F23" s="266" t="s">
        <v>947</v>
      </c>
      <c r="G23" s="266">
        <v>100000</v>
      </c>
      <c r="H23" s="259" t="s">
        <v>68</v>
      </c>
      <c r="I23" s="50"/>
      <c r="J23" s="52"/>
    </row>
    <row r="24" spans="1:10" ht="27" customHeight="1" x14ac:dyDescent="0.2">
      <c r="A24" s="254">
        <v>232</v>
      </c>
      <c r="B24" s="259" t="s">
        <v>132</v>
      </c>
      <c r="C24" s="274">
        <v>400000</v>
      </c>
      <c r="D24" s="252" t="s">
        <v>68</v>
      </c>
      <c r="E24" s="254"/>
      <c r="F24" s="250" t="s">
        <v>94</v>
      </c>
      <c r="G24" s="253">
        <f>SUM(G25)</f>
        <v>800000</v>
      </c>
      <c r="H24" s="259"/>
      <c r="I24" s="50"/>
      <c r="J24" s="52"/>
    </row>
    <row r="25" spans="1:10" ht="30" customHeight="1" x14ac:dyDescent="0.2">
      <c r="A25" s="254">
        <v>233</v>
      </c>
      <c r="B25" s="259" t="s">
        <v>133</v>
      </c>
      <c r="C25" s="274">
        <v>400000</v>
      </c>
      <c r="D25" s="252" t="s">
        <v>68</v>
      </c>
      <c r="E25" s="254"/>
      <c r="F25" s="250" t="s">
        <v>632</v>
      </c>
      <c r="G25" s="253">
        <f>SUM(G26:G28)</f>
        <v>800000</v>
      </c>
      <c r="H25" s="259"/>
      <c r="I25" s="50"/>
      <c r="J25" s="52"/>
    </row>
    <row r="26" spans="1:10" ht="15" customHeight="1" x14ac:dyDescent="0.2">
      <c r="A26" s="254"/>
      <c r="B26" s="275"/>
      <c r="C26" s="265"/>
      <c r="D26" s="258"/>
      <c r="E26" s="254">
        <v>432</v>
      </c>
      <c r="F26" s="252" t="s">
        <v>637</v>
      </c>
      <c r="G26" s="274">
        <v>80000</v>
      </c>
      <c r="H26" s="259" t="s">
        <v>68</v>
      </c>
      <c r="I26" s="50"/>
      <c r="J26" s="52"/>
    </row>
    <row r="27" spans="1:10" ht="15" customHeight="1" x14ac:dyDescent="0.2">
      <c r="A27" s="254"/>
      <c r="B27" s="275"/>
      <c r="C27" s="265"/>
      <c r="D27" s="258"/>
      <c r="E27" s="254">
        <v>437</v>
      </c>
      <c r="F27" s="252" t="s">
        <v>209</v>
      </c>
      <c r="G27" s="274">
        <v>335000</v>
      </c>
      <c r="H27" s="259" t="s">
        <v>68</v>
      </c>
      <c r="I27" s="50"/>
      <c r="J27" s="52"/>
    </row>
    <row r="28" spans="1:10" ht="15" customHeight="1" x14ac:dyDescent="0.2">
      <c r="A28" s="254"/>
      <c r="B28" s="275"/>
      <c r="C28" s="265"/>
      <c r="D28" s="258"/>
      <c r="E28" s="262">
        <v>481</v>
      </c>
      <c r="F28" s="263" t="s">
        <v>638</v>
      </c>
      <c r="G28" s="276">
        <v>385000</v>
      </c>
      <c r="H28" s="259" t="s">
        <v>68</v>
      </c>
      <c r="I28" s="50"/>
      <c r="J28" s="52"/>
    </row>
    <row r="29" spans="1:10" ht="15" customHeight="1" x14ac:dyDescent="0.2">
      <c r="A29" s="254"/>
      <c r="B29" s="275"/>
      <c r="C29" s="265"/>
      <c r="D29" s="258"/>
      <c r="E29" s="268"/>
      <c r="F29" s="269"/>
      <c r="G29" s="270"/>
      <c r="H29" s="259"/>
      <c r="I29" s="50"/>
      <c r="J29" s="52"/>
    </row>
    <row r="30" spans="1:10" x14ac:dyDescent="0.2">
      <c r="A30" s="252"/>
      <c r="B30" s="248" t="s">
        <v>955</v>
      </c>
      <c r="C30" s="277">
        <f>+C31+C39</f>
        <v>63583595</v>
      </c>
      <c r="D30" s="278"/>
      <c r="E30" s="252"/>
      <c r="F30" s="248" t="s">
        <v>639</v>
      </c>
      <c r="G30" s="277">
        <f>+G31+G55</f>
        <v>63583595</v>
      </c>
      <c r="H30" s="259"/>
      <c r="I30" s="50"/>
      <c r="J30" s="52"/>
    </row>
    <row r="31" spans="1:10" ht="14.25" x14ac:dyDescent="0.2">
      <c r="A31" s="278"/>
      <c r="B31" s="279" t="s">
        <v>66</v>
      </c>
      <c r="C31" s="280">
        <f>SUM(C32:C36)</f>
        <v>23344476</v>
      </c>
      <c r="D31" s="278"/>
      <c r="E31" s="268"/>
      <c r="F31" s="281" t="s">
        <v>66</v>
      </c>
      <c r="G31" s="280">
        <f>SUM(G32:G53)</f>
        <v>49333595</v>
      </c>
      <c r="H31" s="259"/>
      <c r="I31" s="50"/>
      <c r="J31" s="52"/>
    </row>
    <row r="32" spans="1:10" ht="25.5" x14ac:dyDescent="0.2">
      <c r="A32" s="283">
        <v>244</v>
      </c>
      <c r="B32" s="266" t="s">
        <v>99</v>
      </c>
      <c r="C32" s="282">
        <v>1300000</v>
      </c>
      <c r="D32" s="278" t="s">
        <v>112</v>
      </c>
      <c r="E32" s="283">
        <v>111</v>
      </c>
      <c r="F32" s="278" t="s">
        <v>90</v>
      </c>
      <c r="G32" s="284">
        <v>1887960</v>
      </c>
      <c r="H32" s="259" t="s">
        <v>112</v>
      </c>
      <c r="I32" s="55"/>
      <c r="J32" s="52"/>
    </row>
    <row r="33" spans="1:10" ht="25.5" x14ac:dyDescent="0.2">
      <c r="A33" s="283">
        <v>333</v>
      </c>
      <c r="B33" s="266" t="s">
        <v>640</v>
      </c>
      <c r="C33" s="282">
        <v>94000</v>
      </c>
      <c r="D33" s="278" t="s">
        <v>112</v>
      </c>
      <c r="E33" s="285">
        <v>111</v>
      </c>
      <c r="F33" s="259" t="s">
        <v>90</v>
      </c>
      <c r="G33" s="286">
        <v>5330000</v>
      </c>
      <c r="H33" s="259" t="s">
        <v>68</v>
      </c>
      <c r="I33" s="55"/>
      <c r="J33" s="52"/>
    </row>
    <row r="34" spans="1:10" ht="26.25" x14ac:dyDescent="0.25">
      <c r="A34" s="285">
        <v>346</v>
      </c>
      <c r="B34" s="266" t="s">
        <v>162</v>
      </c>
      <c r="C34" s="287">
        <v>21809133</v>
      </c>
      <c r="D34" s="252" t="s">
        <v>68</v>
      </c>
      <c r="E34" s="283">
        <v>113</v>
      </c>
      <c r="F34" s="278" t="s">
        <v>202</v>
      </c>
      <c r="G34" s="284">
        <v>160528</v>
      </c>
      <c r="H34" s="259" t="s">
        <v>112</v>
      </c>
      <c r="I34" s="55"/>
      <c r="J34" s="52"/>
    </row>
    <row r="35" spans="1:10" ht="25.5" x14ac:dyDescent="0.2">
      <c r="A35" s="283">
        <v>352</v>
      </c>
      <c r="B35" s="266" t="s">
        <v>641</v>
      </c>
      <c r="C35" s="282">
        <v>115881</v>
      </c>
      <c r="D35" s="278" t="s">
        <v>112</v>
      </c>
      <c r="E35" s="283">
        <v>114</v>
      </c>
      <c r="F35" s="278" t="s">
        <v>159</v>
      </c>
      <c r="G35" s="284">
        <v>211897</v>
      </c>
      <c r="H35" s="259" t="s">
        <v>112</v>
      </c>
      <c r="I35" s="55"/>
      <c r="J35" s="52"/>
    </row>
    <row r="36" spans="1:10" ht="25.5" x14ac:dyDescent="0.2">
      <c r="A36" s="283">
        <v>399</v>
      </c>
      <c r="B36" s="266" t="s">
        <v>71</v>
      </c>
      <c r="C36" s="282">
        <v>25462</v>
      </c>
      <c r="D36" s="278" t="s">
        <v>112</v>
      </c>
      <c r="E36" s="283">
        <v>116</v>
      </c>
      <c r="F36" s="278" t="s">
        <v>203</v>
      </c>
      <c r="G36" s="284">
        <v>38377</v>
      </c>
      <c r="H36" s="259" t="s">
        <v>112</v>
      </c>
      <c r="I36" s="55"/>
      <c r="J36" s="52"/>
    </row>
    <row r="37" spans="1:10" ht="12.75" x14ac:dyDescent="0.2">
      <c r="A37" s="283"/>
      <c r="B37" s="278"/>
      <c r="C37" s="284"/>
      <c r="D37" s="278"/>
      <c r="E37" s="285">
        <v>162</v>
      </c>
      <c r="F37" s="259" t="s">
        <v>153</v>
      </c>
      <c r="G37" s="286">
        <v>4894988</v>
      </c>
      <c r="H37" s="259" t="s">
        <v>68</v>
      </c>
      <c r="I37" s="55"/>
      <c r="J37" s="52"/>
    </row>
    <row r="38" spans="1:10" ht="12.75" x14ac:dyDescent="0.2">
      <c r="A38" s="283"/>
      <c r="B38" s="278"/>
      <c r="C38" s="284"/>
      <c r="D38" s="278"/>
      <c r="E38" s="285">
        <v>216</v>
      </c>
      <c r="F38" s="259" t="s">
        <v>131</v>
      </c>
      <c r="G38" s="286">
        <v>2680145</v>
      </c>
      <c r="H38" s="259" t="s">
        <v>68</v>
      </c>
      <c r="I38" s="55"/>
      <c r="J38" s="52"/>
    </row>
    <row r="39" spans="1:10" ht="27" customHeight="1" x14ac:dyDescent="0.2">
      <c r="A39" s="283"/>
      <c r="B39" s="279" t="s">
        <v>94</v>
      </c>
      <c r="C39" s="280">
        <f>+C40+C51</f>
        <v>40239119</v>
      </c>
      <c r="D39" s="278"/>
      <c r="E39" s="283">
        <v>221</v>
      </c>
      <c r="F39" s="278" t="s">
        <v>642</v>
      </c>
      <c r="G39" s="284">
        <v>3100000</v>
      </c>
      <c r="H39" s="259" t="s">
        <v>112</v>
      </c>
      <c r="I39" s="55"/>
      <c r="J39" s="52"/>
    </row>
    <row r="40" spans="1:10" ht="15" customHeight="1" x14ac:dyDescent="0.2">
      <c r="A40" s="283"/>
      <c r="B40" s="279" t="s">
        <v>632</v>
      </c>
      <c r="C40" s="280">
        <f>SUM(C41:C48)</f>
        <v>32589119</v>
      </c>
      <c r="D40" s="278"/>
      <c r="E40" s="285">
        <v>233</v>
      </c>
      <c r="F40" s="259" t="s">
        <v>133</v>
      </c>
      <c r="G40" s="286">
        <v>4200000</v>
      </c>
      <c r="H40" s="259" t="s">
        <v>68</v>
      </c>
      <c r="I40" s="50"/>
      <c r="J40" s="52"/>
    </row>
    <row r="41" spans="1:10" ht="25.5" x14ac:dyDescent="0.2">
      <c r="A41" s="283">
        <v>432</v>
      </c>
      <c r="B41" s="266" t="s">
        <v>89</v>
      </c>
      <c r="C41" s="282">
        <f>763419+1232917</f>
        <v>1996336</v>
      </c>
      <c r="D41" s="278" t="s">
        <v>112</v>
      </c>
      <c r="E41" s="285">
        <v>273</v>
      </c>
      <c r="F41" s="259" t="s">
        <v>114</v>
      </c>
      <c r="G41" s="286">
        <v>724000</v>
      </c>
      <c r="H41" s="259" t="s">
        <v>68</v>
      </c>
      <c r="I41" s="50"/>
      <c r="J41" s="52"/>
    </row>
    <row r="42" spans="1:10" ht="12.75" x14ac:dyDescent="0.2">
      <c r="A42" s="283"/>
      <c r="B42" s="266"/>
      <c r="C42" s="282"/>
      <c r="D42" s="278"/>
      <c r="E42" s="285">
        <v>273</v>
      </c>
      <c r="F42" s="259" t="s">
        <v>819</v>
      </c>
      <c r="G42" s="286">
        <v>5000000</v>
      </c>
      <c r="H42" s="259" t="s">
        <v>68</v>
      </c>
      <c r="I42" s="50"/>
      <c r="J42" s="52"/>
    </row>
    <row r="43" spans="1:10" ht="25.5" x14ac:dyDescent="0.2">
      <c r="A43" s="283">
        <v>433</v>
      </c>
      <c r="B43" s="266" t="s">
        <v>643</v>
      </c>
      <c r="C43" s="282">
        <v>139042</v>
      </c>
      <c r="D43" s="278" t="s">
        <v>112</v>
      </c>
      <c r="E43" s="283">
        <v>311</v>
      </c>
      <c r="F43" s="278" t="s">
        <v>644</v>
      </c>
      <c r="G43" s="284">
        <v>5065281</v>
      </c>
      <c r="H43" s="259" t="s">
        <v>645</v>
      </c>
      <c r="I43" s="50"/>
      <c r="J43" s="52"/>
    </row>
    <row r="44" spans="1:10" ht="25.5" x14ac:dyDescent="0.2">
      <c r="A44" s="283">
        <v>436</v>
      </c>
      <c r="B44" s="266" t="s">
        <v>646</v>
      </c>
      <c r="C44" s="282">
        <v>1891460</v>
      </c>
      <c r="D44" s="278" t="s">
        <v>112</v>
      </c>
      <c r="E44" s="285">
        <v>332</v>
      </c>
      <c r="F44" s="259" t="s">
        <v>154</v>
      </c>
      <c r="G44" s="286">
        <v>600000</v>
      </c>
      <c r="H44" s="259" t="s">
        <v>68</v>
      </c>
      <c r="I44" s="50"/>
      <c r="J44" s="52"/>
    </row>
    <row r="45" spans="1:10" ht="25.5" x14ac:dyDescent="0.2">
      <c r="A45" s="283">
        <v>436</v>
      </c>
      <c r="B45" s="266" t="s">
        <v>647</v>
      </c>
      <c r="C45" s="282">
        <v>10616409</v>
      </c>
      <c r="D45" s="259" t="s">
        <v>68</v>
      </c>
      <c r="E45" s="285">
        <v>333</v>
      </c>
      <c r="F45" s="259" t="s">
        <v>640</v>
      </c>
      <c r="G45" s="286">
        <v>500000</v>
      </c>
      <c r="H45" s="259" t="s">
        <v>68</v>
      </c>
      <c r="I45" s="50"/>
      <c r="J45" s="52"/>
    </row>
    <row r="46" spans="1:10" ht="25.5" x14ac:dyDescent="0.2">
      <c r="A46" s="283">
        <v>437</v>
      </c>
      <c r="B46" s="266" t="s">
        <v>648</v>
      </c>
      <c r="C46" s="282">
        <v>600000</v>
      </c>
      <c r="D46" s="278" t="s">
        <v>112</v>
      </c>
      <c r="E46" s="285">
        <v>346</v>
      </c>
      <c r="F46" s="259" t="s">
        <v>649</v>
      </c>
      <c r="G46" s="286">
        <v>1797000</v>
      </c>
      <c r="H46" s="259" t="s">
        <v>68</v>
      </c>
      <c r="I46" s="50"/>
      <c r="J46" s="52"/>
    </row>
    <row r="47" spans="1:10" ht="12.75" x14ac:dyDescent="0.2">
      <c r="A47" s="283">
        <v>437</v>
      </c>
      <c r="B47" s="266" t="s">
        <v>818</v>
      </c>
      <c r="C47" s="282">
        <v>10000000</v>
      </c>
      <c r="D47" s="278" t="s">
        <v>68</v>
      </c>
      <c r="E47" s="285"/>
      <c r="F47" s="259"/>
      <c r="G47" s="286"/>
      <c r="H47" s="259"/>
      <c r="I47" s="50"/>
      <c r="J47" s="52"/>
    </row>
    <row r="48" spans="1:10" ht="12.75" x14ac:dyDescent="0.2">
      <c r="A48" s="285">
        <v>439</v>
      </c>
      <c r="B48" s="266" t="s">
        <v>650</v>
      </c>
      <c r="C48" s="288">
        <v>7345872</v>
      </c>
      <c r="D48" s="278" t="s">
        <v>68</v>
      </c>
      <c r="E48" s="285">
        <v>349</v>
      </c>
      <c r="F48" s="259" t="s">
        <v>651</v>
      </c>
      <c r="G48" s="286">
        <v>1500000</v>
      </c>
      <c r="H48" s="259" t="s">
        <v>68</v>
      </c>
      <c r="I48" s="50"/>
      <c r="J48" s="52"/>
    </row>
    <row r="49" spans="1:10" ht="12.75" x14ac:dyDescent="0.2">
      <c r="A49" s="283"/>
      <c r="B49" s="278"/>
      <c r="C49" s="288"/>
      <c r="D49" s="278"/>
      <c r="E49" s="285">
        <v>362</v>
      </c>
      <c r="F49" s="259" t="s">
        <v>86</v>
      </c>
      <c r="G49" s="286">
        <v>480000</v>
      </c>
      <c r="H49" s="259" t="s">
        <v>68</v>
      </c>
      <c r="I49" s="50"/>
      <c r="J49" s="52"/>
    </row>
    <row r="50" spans="1:10" ht="12.75" x14ac:dyDescent="0.2">
      <c r="A50" s="283"/>
      <c r="B50" s="278"/>
      <c r="C50" s="288"/>
      <c r="D50" s="278"/>
      <c r="E50" s="285">
        <v>362</v>
      </c>
      <c r="F50" s="259" t="s">
        <v>652</v>
      </c>
      <c r="G50" s="286">
        <v>5000000</v>
      </c>
      <c r="H50" s="259" t="s">
        <v>68</v>
      </c>
      <c r="I50" s="50"/>
      <c r="J50" s="52"/>
    </row>
    <row r="51" spans="1:10" ht="25.5" x14ac:dyDescent="0.2">
      <c r="A51" s="285"/>
      <c r="B51" s="279" t="s">
        <v>73</v>
      </c>
      <c r="C51" s="289">
        <f>SUM(C52:C54)</f>
        <v>7650000</v>
      </c>
      <c r="D51" s="259"/>
      <c r="E51" s="283">
        <v>362</v>
      </c>
      <c r="F51" s="278" t="s">
        <v>652</v>
      </c>
      <c r="G51" s="284">
        <v>5100000</v>
      </c>
      <c r="H51" s="259" t="s">
        <v>645</v>
      </c>
      <c r="I51" s="50"/>
      <c r="J51" s="52"/>
    </row>
    <row r="52" spans="1:10" ht="25.5" x14ac:dyDescent="0.2">
      <c r="A52" s="285"/>
      <c r="B52" s="266" t="s">
        <v>168</v>
      </c>
      <c r="C52" s="288">
        <v>6530000</v>
      </c>
      <c r="D52" s="259" t="s">
        <v>68</v>
      </c>
      <c r="E52" s="283">
        <v>393</v>
      </c>
      <c r="F52" s="278" t="s">
        <v>653</v>
      </c>
      <c r="G52" s="284">
        <v>763419</v>
      </c>
      <c r="H52" s="259" t="s">
        <v>112</v>
      </c>
      <c r="I52" s="50"/>
      <c r="J52" s="52"/>
    </row>
    <row r="53" spans="1:10" ht="25.5" x14ac:dyDescent="0.2">
      <c r="A53" s="285"/>
      <c r="B53" s="266" t="s">
        <v>654</v>
      </c>
      <c r="C53" s="288">
        <v>120000</v>
      </c>
      <c r="D53" s="259" t="s">
        <v>68</v>
      </c>
      <c r="E53" s="285">
        <v>397</v>
      </c>
      <c r="F53" s="259" t="s">
        <v>655</v>
      </c>
      <c r="G53" s="286">
        <v>300000</v>
      </c>
      <c r="H53" s="259" t="s">
        <v>68</v>
      </c>
      <c r="I53" s="50"/>
      <c r="J53" s="52"/>
    </row>
    <row r="54" spans="1:10" ht="25.5" x14ac:dyDescent="0.2">
      <c r="A54" s="285"/>
      <c r="B54" s="266" t="s">
        <v>656</v>
      </c>
      <c r="C54" s="288">
        <v>1000000</v>
      </c>
      <c r="D54" s="259" t="s">
        <v>68</v>
      </c>
      <c r="E54" s="252"/>
      <c r="F54" s="252"/>
      <c r="G54" s="252"/>
      <c r="H54" s="259"/>
      <c r="I54" s="50"/>
      <c r="J54" s="52"/>
    </row>
    <row r="55" spans="1:10" ht="12.75" x14ac:dyDescent="0.2">
      <c r="A55" s="285"/>
      <c r="B55" s="259"/>
      <c r="C55" s="288"/>
      <c r="D55" s="259"/>
      <c r="E55" s="285"/>
      <c r="F55" s="279" t="s">
        <v>94</v>
      </c>
      <c r="G55" s="280">
        <f>+G56+G63</f>
        <v>14250000</v>
      </c>
      <c r="H55" s="259"/>
      <c r="I55" s="50"/>
      <c r="J55" s="52"/>
    </row>
    <row r="56" spans="1:10" ht="14.25" x14ac:dyDescent="0.2">
      <c r="A56" s="285"/>
      <c r="B56" s="259"/>
      <c r="C56" s="288"/>
      <c r="D56" s="259"/>
      <c r="E56" s="268"/>
      <c r="F56" s="279" t="s">
        <v>73</v>
      </c>
      <c r="G56" s="280">
        <f>SUM(G57:G61)</f>
        <v>13650000</v>
      </c>
      <c r="H56" s="259"/>
      <c r="I56" s="50"/>
      <c r="J56" s="52"/>
    </row>
    <row r="57" spans="1:10" ht="29.25" customHeight="1" x14ac:dyDescent="0.2">
      <c r="A57" s="285"/>
      <c r="B57" s="259"/>
      <c r="C57" s="288"/>
      <c r="D57" s="259"/>
      <c r="E57" s="268"/>
      <c r="F57" s="259" t="s">
        <v>657</v>
      </c>
      <c r="G57" s="286">
        <v>620000</v>
      </c>
      <c r="H57" s="259" t="s">
        <v>68</v>
      </c>
      <c r="I57" s="50"/>
      <c r="J57" s="52"/>
    </row>
    <row r="58" spans="1:10" ht="38.25" customHeight="1" x14ac:dyDescent="0.2">
      <c r="A58" s="285"/>
      <c r="B58" s="259"/>
      <c r="C58" s="288"/>
      <c r="D58" s="259"/>
      <c r="E58" s="268"/>
      <c r="F58" s="278" t="s">
        <v>658</v>
      </c>
      <c r="G58" s="286">
        <v>4000000</v>
      </c>
      <c r="H58" s="259" t="s">
        <v>68</v>
      </c>
      <c r="I58" s="50"/>
      <c r="J58" s="52"/>
    </row>
    <row r="59" spans="1:10" ht="25.5" x14ac:dyDescent="0.2">
      <c r="A59" s="285"/>
      <c r="B59" s="259"/>
      <c r="C59" s="288"/>
      <c r="D59" s="259"/>
      <c r="E59" s="268"/>
      <c r="F59" s="259" t="s">
        <v>659</v>
      </c>
      <c r="G59" s="286">
        <v>2030000</v>
      </c>
      <c r="H59" s="259" t="s">
        <v>68</v>
      </c>
      <c r="I59" s="50"/>
      <c r="J59" s="52"/>
    </row>
    <row r="60" spans="1:10" ht="41.25" customHeight="1" x14ac:dyDescent="0.2">
      <c r="A60" s="285"/>
      <c r="B60" s="259"/>
      <c r="C60" s="288"/>
      <c r="D60" s="259"/>
      <c r="E60" s="268"/>
      <c r="F60" s="278" t="s">
        <v>166</v>
      </c>
      <c r="G60" s="286">
        <v>1000000</v>
      </c>
      <c r="H60" s="259" t="s">
        <v>68</v>
      </c>
      <c r="I60" s="50"/>
      <c r="J60" s="52"/>
    </row>
    <row r="61" spans="1:10" ht="39" customHeight="1" x14ac:dyDescent="0.2">
      <c r="A61" s="285"/>
      <c r="B61" s="259"/>
      <c r="C61" s="288"/>
      <c r="D61" s="259"/>
      <c r="E61" s="268"/>
      <c r="F61" s="278" t="s">
        <v>660</v>
      </c>
      <c r="G61" s="286">
        <v>6000000</v>
      </c>
      <c r="H61" s="259" t="s">
        <v>68</v>
      </c>
      <c r="I61" s="50"/>
      <c r="J61" s="52"/>
    </row>
    <row r="62" spans="1:10" ht="14.25" x14ac:dyDescent="0.2">
      <c r="A62" s="285"/>
      <c r="B62" s="259"/>
      <c r="C62" s="288"/>
      <c r="D62" s="259"/>
      <c r="E62" s="268"/>
      <c r="F62" s="278"/>
      <c r="G62" s="286"/>
      <c r="H62" s="259"/>
      <c r="I62" s="50"/>
      <c r="J62" s="52"/>
    </row>
    <row r="63" spans="1:10" ht="14.25" x14ac:dyDescent="0.2">
      <c r="A63" s="285"/>
      <c r="B63" s="259"/>
      <c r="C63" s="288"/>
      <c r="D63" s="259"/>
      <c r="E63" s="268"/>
      <c r="F63" s="250" t="s">
        <v>632</v>
      </c>
      <c r="G63" s="290">
        <f>+G64</f>
        <v>600000</v>
      </c>
      <c r="H63" s="259"/>
      <c r="I63" s="50"/>
      <c r="J63" s="52"/>
    </row>
    <row r="64" spans="1:10" ht="12.75" x14ac:dyDescent="0.2">
      <c r="A64" s="285"/>
      <c r="B64" s="259"/>
      <c r="C64" s="288"/>
      <c r="D64" s="259"/>
      <c r="E64" s="259">
        <v>439</v>
      </c>
      <c r="F64" s="278" t="s">
        <v>156</v>
      </c>
      <c r="G64" s="286">
        <v>600000</v>
      </c>
      <c r="H64" s="259" t="s">
        <v>68</v>
      </c>
      <c r="I64" s="50"/>
      <c r="J64" s="52"/>
    </row>
    <row r="65" spans="1:10" ht="12.75" x14ac:dyDescent="0.2">
      <c r="A65" s="252"/>
      <c r="B65" s="252"/>
      <c r="C65" s="252"/>
      <c r="D65" s="252"/>
      <c r="E65" s="259"/>
      <c r="F65" s="278"/>
      <c r="G65" s="286"/>
      <c r="H65" s="259"/>
      <c r="I65" s="50"/>
      <c r="J65" s="52"/>
    </row>
    <row r="66" spans="1:10" ht="30" x14ac:dyDescent="0.25">
      <c r="A66" s="252"/>
      <c r="B66" s="579" t="s">
        <v>661</v>
      </c>
      <c r="C66" s="272">
        <f>+C67</f>
        <v>1773000</v>
      </c>
      <c r="D66" s="259"/>
      <c r="E66" s="259"/>
      <c r="F66" s="579" t="s">
        <v>661</v>
      </c>
      <c r="G66" s="290">
        <f>+G67</f>
        <v>1773000</v>
      </c>
      <c r="H66" s="259"/>
      <c r="I66" s="50"/>
      <c r="J66" s="52"/>
    </row>
    <row r="67" spans="1:10" ht="12.75" x14ac:dyDescent="0.2">
      <c r="A67" s="252"/>
      <c r="B67" s="250" t="s">
        <v>66</v>
      </c>
      <c r="C67" s="253">
        <f>SUM(C68:C71)</f>
        <v>1773000</v>
      </c>
      <c r="D67" s="259"/>
      <c r="E67" s="252"/>
      <c r="F67" s="250" t="s">
        <v>66</v>
      </c>
      <c r="G67" s="253">
        <f>SUM(G68)</f>
        <v>1773000</v>
      </c>
      <c r="H67" s="259"/>
      <c r="I67" s="50"/>
      <c r="J67" s="52"/>
    </row>
    <row r="68" spans="1:10" ht="25.5" x14ac:dyDescent="0.2">
      <c r="A68" s="460">
        <v>111</v>
      </c>
      <c r="B68" s="266" t="s">
        <v>662</v>
      </c>
      <c r="C68" s="291">
        <v>300000</v>
      </c>
      <c r="D68" s="278" t="s">
        <v>663</v>
      </c>
      <c r="E68" s="292">
        <v>151</v>
      </c>
      <c r="F68" s="259" t="s">
        <v>205</v>
      </c>
      <c r="G68" s="255">
        <v>1773000</v>
      </c>
      <c r="H68" s="259" t="s">
        <v>68</v>
      </c>
      <c r="I68" s="50"/>
      <c r="J68" s="52"/>
    </row>
    <row r="69" spans="1:10" ht="25.5" x14ac:dyDescent="0.2">
      <c r="A69" s="460">
        <v>151</v>
      </c>
      <c r="B69" s="266" t="s">
        <v>205</v>
      </c>
      <c r="C69" s="291">
        <v>363000</v>
      </c>
      <c r="D69" s="278" t="s">
        <v>663</v>
      </c>
      <c r="E69" s="259"/>
      <c r="F69" s="278"/>
      <c r="G69" s="286"/>
      <c r="H69" s="259"/>
      <c r="I69" s="50"/>
      <c r="J69" s="52"/>
    </row>
    <row r="70" spans="1:10" ht="25.5" x14ac:dyDescent="0.2">
      <c r="A70" s="460">
        <v>221</v>
      </c>
      <c r="B70" s="266" t="s">
        <v>664</v>
      </c>
      <c r="C70" s="291">
        <v>500000</v>
      </c>
      <c r="D70" s="278" t="s">
        <v>663</v>
      </c>
      <c r="E70" s="259"/>
      <c r="F70" s="278"/>
      <c r="G70" s="286"/>
      <c r="H70" s="259"/>
      <c r="I70" s="50"/>
      <c r="J70" s="52"/>
    </row>
    <row r="71" spans="1:10" ht="25.5" x14ac:dyDescent="0.2">
      <c r="A71" s="460">
        <v>391</v>
      </c>
      <c r="B71" s="266" t="s">
        <v>665</v>
      </c>
      <c r="C71" s="291">
        <v>610000</v>
      </c>
      <c r="D71" s="278" t="s">
        <v>663</v>
      </c>
      <c r="E71" s="259"/>
      <c r="F71" s="278"/>
      <c r="G71" s="286"/>
      <c r="H71" s="259"/>
      <c r="I71" s="50"/>
      <c r="J71" s="52"/>
    </row>
    <row r="72" spans="1:10" x14ac:dyDescent="0.2">
      <c r="A72" s="254"/>
      <c r="B72" s="275"/>
      <c r="C72" s="275"/>
      <c r="D72" s="258"/>
      <c r="E72" s="268"/>
      <c r="F72" s="269"/>
      <c r="G72" s="270"/>
      <c r="H72" s="259"/>
      <c r="I72" s="50"/>
      <c r="J72" s="52"/>
    </row>
    <row r="73" spans="1:10" ht="30" x14ac:dyDescent="0.25">
      <c r="A73" s="252"/>
      <c r="B73" s="579" t="s">
        <v>956</v>
      </c>
      <c r="C73" s="293">
        <f>+C74+C77</f>
        <v>8779520</v>
      </c>
      <c r="D73" s="252"/>
      <c r="E73" s="252"/>
      <c r="F73" s="579" t="s">
        <v>956</v>
      </c>
      <c r="G73" s="294">
        <f>+G74+G80</f>
        <v>8779520</v>
      </c>
      <c r="H73" s="259"/>
      <c r="I73" s="50"/>
      <c r="J73" s="52"/>
    </row>
    <row r="74" spans="1:10" x14ac:dyDescent="0.2">
      <c r="A74" s="254"/>
      <c r="B74" s="295" t="s">
        <v>66</v>
      </c>
      <c r="C74" s="296">
        <f>+C75</f>
        <v>400000</v>
      </c>
      <c r="D74" s="258"/>
      <c r="E74" s="252"/>
      <c r="F74" s="295" t="s">
        <v>66</v>
      </c>
      <c r="G74" s="273">
        <f>SUM(G75:G78)</f>
        <v>7842263</v>
      </c>
      <c r="H74" s="259"/>
      <c r="I74" s="50"/>
      <c r="J74" s="52"/>
    </row>
    <row r="75" spans="1:10" ht="18" customHeight="1" x14ac:dyDescent="0.2">
      <c r="A75" s="302">
        <v>244</v>
      </c>
      <c r="B75" s="266" t="s">
        <v>99</v>
      </c>
      <c r="C75" s="297">
        <v>400000</v>
      </c>
      <c r="D75" s="252" t="s">
        <v>68</v>
      </c>
      <c r="E75" s="254">
        <v>141</v>
      </c>
      <c r="F75" s="266" t="s">
        <v>276</v>
      </c>
      <c r="G75" s="299">
        <v>400000</v>
      </c>
      <c r="H75" s="259" t="s">
        <v>68</v>
      </c>
      <c r="I75" s="50"/>
      <c r="J75" s="52"/>
    </row>
    <row r="76" spans="1:10" ht="27.75" customHeight="1" x14ac:dyDescent="0.2">
      <c r="A76" s="461"/>
      <c r="B76" s="300"/>
      <c r="C76" s="301"/>
      <c r="D76" s="252"/>
      <c r="E76" s="302">
        <v>243</v>
      </c>
      <c r="F76" s="266" t="s">
        <v>666</v>
      </c>
      <c r="G76" s="299">
        <v>1843751</v>
      </c>
      <c r="H76" s="259" t="s">
        <v>359</v>
      </c>
      <c r="I76" s="50"/>
      <c r="J76" s="52"/>
    </row>
    <row r="77" spans="1:10" ht="27" customHeight="1" x14ac:dyDescent="0.2">
      <c r="A77" s="302"/>
      <c r="B77" s="303" t="s">
        <v>94</v>
      </c>
      <c r="C77" s="304">
        <f>+C78</f>
        <v>8379520</v>
      </c>
      <c r="D77" s="305"/>
      <c r="E77" s="254">
        <v>243</v>
      </c>
      <c r="F77" s="266" t="s">
        <v>666</v>
      </c>
      <c r="G77" s="299">
        <v>5482385</v>
      </c>
      <c r="H77" s="259" t="s">
        <v>667</v>
      </c>
      <c r="I77" s="50"/>
      <c r="J77" s="52"/>
    </row>
    <row r="78" spans="1:10" ht="30.75" customHeight="1" x14ac:dyDescent="0.25">
      <c r="A78" s="252"/>
      <c r="B78" s="279" t="s">
        <v>632</v>
      </c>
      <c r="C78" s="287">
        <f>+C79</f>
        <v>8379520</v>
      </c>
      <c r="D78" s="252"/>
      <c r="E78" s="302">
        <v>243</v>
      </c>
      <c r="F78" s="266" t="s">
        <v>666</v>
      </c>
      <c r="G78" s="299">
        <v>116127</v>
      </c>
      <c r="H78" s="259" t="s">
        <v>668</v>
      </c>
      <c r="I78" s="50"/>
      <c r="J78" s="52"/>
    </row>
    <row r="79" spans="1:10" ht="25.5" customHeight="1" x14ac:dyDescent="0.2">
      <c r="A79" s="302">
        <v>437</v>
      </c>
      <c r="B79" s="266" t="s">
        <v>100</v>
      </c>
      <c r="C79" s="305">
        <v>8379520</v>
      </c>
      <c r="D79" s="259" t="s">
        <v>667</v>
      </c>
      <c r="E79" s="302"/>
      <c r="F79" s="298"/>
      <c r="G79" s="299"/>
      <c r="H79" s="259"/>
      <c r="I79" s="50"/>
      <c r="J79" s="52"/>
    </row>
    <row r="80" spans="1:10" ht="15" customHeight="1" x14ac:dyDescent="0.25">
      <c r="A80" s="302"/>
      <c r="B80" s="305"/>
      <c r="C80" s="305"/>
      <c r="D80" s="252"/>
      <c r="E80" s="302"/>
      <c r="F80" s="303" t="s">
        <v>94</v>
      </c>
      <c r="G80" s="272">
        <f>+G81</f>
        <v>937257</v>
      </c>
      <c r="H80" s="259"/>
      <c r="I80" s="50"/>
      <c r="J80" s="52"/>
    </row>
    <row r="81" spans="1:10" ht="15" customHeight="1" x14ac:dyDescent="0.2">
      <c r="A81" s="302"/>
      <c r="B81" s="305"/>
      <c r="C81" s="305"/>
      <c r="D81" s="252"/>
      <c r="E81" s="302"/>
      <c r="F81" s="304" t="s">
        <v>73</v>
      </c>
      <c r="G81" s="255">
        <f>+G82</f>
        <v>937257</v>
      </c>
      <c r="H81" s="259"/>
      <c r="I81" s="50"/>
      <c r="J81" s="52"/>
    </row>
    <row r="82" spans="1:10" ht="27.75" customHeight="1" x14ac:dyDescent="0.2">
      <c r="A82" s="302"/>
      <c r="B82" s="305"/>
      <c r="C82" s="305"/>
      <c r="D82" s="252"/>
      <c r="E82" s="302"/>
      <c r="F82" s="266" t="s">
        <v>669</v>
      </c>
      <c r="G82" s="305">
        <v>937257</v>
      </c>
      <c r="H82" s="259" t="s">
        <v>359</v>
      </c>
      <c r="I82" s="50"/>
      <c r="J82" s="52"/>
    </row>
    <row r="83" spans="1:10" ht="12.75" customHeight="1" x14ac:dyDescent="0.2">
      <c r="A83" s="254"/>
      <c r="B83" s="275"/>
      <c r="C83" s="275"/>
      <c r="D83" s="258"/>
      <c r="E83" s="302"/>
      <c r="F83" s="283"/>
      <c r="G83" s="270"/>
      <c r="H83" s="259"/>
      <c r="I83" s="50"/>
      <c r="J83" s="52"/>
    </row>
    <row r="84" spans="1:10" ht="31.5" customHeight="1" x14ac:dyDescent="0.25">
      <c r="A84" s="252"/>
      <c r="B84" s="579" t="s">
        <v>670</v>
      </c>
      <c r="C84" s="293">
        <f>+C85+C99</f>
        <v>15224165</v>
      </c>
      <c r="D84" s="243"/>
      <c r="E84" s="259"/>
      <c r="F84" s="579" t="s">
        <v>670</v>
      </c>
      <c r="G84" s="306">
        <f>+G85+G93</f>
        <v>15224165</v>
      </c>
      <c r="H84" s="259"/>
      <c r="I84" s="50"/>
      <c r="J84" s="52"/>
    </row>
    <row r="85" spans="1:10" ht="15" customHeight="1" x14ac:dyDescent="0.2">
      <c r="A85" s="300"/>
      <c r="B85" s="295" t="s">
        <v>66</v>
      </c>
      <c r="C85" s="301">
        <f>SUM(C86:C97)</f>
        <v>5569435</v>
      </c>
      <c r="D85" s="252"/>
      <c r="E85" s="259"/>
      <c r="F85" s="295" t="s">
        <v>66</v>
      </c>
      <c r="G85" s="307">
        <f>SUM(G86:G91)</f>
        <v>14145066</v>
      </c>
      <c r="H85" s="259"/>
      <c r="I85" s="50"/>
      <c r="J85" s="52"/>
    </row>
    <row r="86" spans="1:10" ht="15" customHeight="1" x14ac:dyDescent="0.2">
      <c r="A86" s="254">
        <v>271</v>
      </c>
      <c r="B86" s="266" t="s">
        <v>244</v>
      </c>
      <c r="C86" s="308">
        <v>300000</v>
      </c>
      <c r="D86" s="298" t="s">
        <v>68</v>
      </c>
      <c r="E86" s="254">
        <v>111</v>
      </c>
      <c r="F86" s="298" t="s">
        <v>90</v>
      </c>
      <c r="G86" s="309">
        <v>2000000</v>
      </c>
      <c r="H86" s="259" t="s">
        <v>68</v>
      </c>
      <c r="I86" s="50"/>
      <c r="J86" s="52"/>
    </row>
    <row r="87" spans="1:10" ht="25.5" customHeight="1" x14ac:dyDescent="0.2">
      <c r="A87" s="254">
        <v>272</v>
      </c>
      <c r="B87" s="266" t="s">
        <v>608</v>
      </c>
      <c r="C87" s="310">
        <v>350000</v>
      </c>
      <c r="D87" s="298" t="s">
        <v>68</v>
      </c>
      <c r="E87" s="262">
        <v>131</v>
      </c>
      <c r="F87" s="263" t="s">
        <v>135</v>
      </c>
      <c r="G87" s="311">
        <v>1747000</v>
      </c>
      <c r="H87" s="259" t="s">
        <v>671</v>
      </c>
      <c r="I87" s="50"/>
      <c r="J87" s="52"/>
    </row>
    <row r="88" spans="1:10" ht="15" customHeight="1" x14ac:dyDescent="0.2">
      <c r="A88" s="254">
        <v>273</v>
      </c>
      <c r="B88" s="266" t="s">
        <v>672</v>
      </c>
      <c r="C88" s="310">
        <v>270000</v>
      </c>
      <c r="D88" s="298" t="s">
        <v>68</v>
      </c>
      <c r="E88" s="254">
        <v>136</v>
      </c>
      <c r="F88" s="298" t="s">
        <v>274</v>
      </c>
      <c r="G88" s="312">
        <v>1368</v>
      </c>
      <c r="H88" s="259" t="s">
        <v>68</v>
      </c>
      <c r="I88" s="50"/>
      <c r="J88" s="52"/>
    </row>
    <row r="89" spans="1:10" ht="15" customHeight="1" x14ac:dyDescent="0.2">
      <c r="A89" s="254">
        <v>274</v>
      </c>
      <c r="B89" s="266" t="s">
        <v>673</v>
      </c>
      <c r="C89" s="310">
        <v>400000</v>
      </c>
      <c r="D89" s="298" t="s">
        <v>68</v>
      </c>
      <c r="E89" s="254">
        <v>141</v>
      </c>
      <c r="F89" s="298" t="s">
        <v>276</v>
      </c>
      <c r="G89" s="312">
        <v>1300000</v>
      </c>
      <c r="H89" s="259" t="s">
        <v>68</v>
      </c>
      <c r="I89" s="50"/>
      <c r="J89" s="52"/>
    </row>
    <row r="90" spans="1:10" ht="21" customHeight="1" x14ac:dyDescent="0.2">
      <c r="A90" s="254">
        <v>299</v>
      </c>
      <c r="B90" s="266" t="s">
        <v>272</v>
      </c>
      <c r="C90" s="310">
        <v>180038</v>
      </c>
      <c r="D90" s="298" t="s">
        <v>68</v>
      </c>
      <c r="E90" s="254">
        <v>161</v>
      </c>
      <c r="F90" s="298" t="s">
        <v>206</v>
      </c>
      <c r="G90" s="312">
        <v>21067</v>
      </c>
      <c r="H90" s="259" t="s">
        <v>68</v>
      </c>
      <c r="I90" s="50"/>
      <c r="J90" s="52"/>
    </row>
    <row r="91" spans="1:10" ht="15" customHeight="1" x14ac:dyDescent="0.2">
      <c r="A91" s="254">
        <v>311</v>
      </c>
      <c r="B91" s="266" t="s">
        <v>161</v>
      </c>
      <c r="C91" s="310">
        <v>250000</v>
      </c>
      <c r="D91" s="298" t="s">
        <v>68</v>
      </c>
      <c r="E91" s="254">
        <v>249</v>
      </c>
      <c r="F91" s="298" t="s">
        <v>82</v>
      </c>
      <c r="G91" s="312">
        <v>9075631</v>
      </c>
      <c r="H91" s="259" t="s">
        <v>79</v>
      </c>
      <c r="I91" s="50"/>
      <c r="J91" s="52"/>
    </row>
    <row r="92" spans="1:10" ht="15" customHeight="1" x14ac:dyDescent="0.2">
      <c r="A92" s="254">
        <v>312</v>
      </c>
      <c r="B92" s="266" t="s">
        <v>287</v>
      </c>
      <c r="C92" s="310">
        <v>150000</v>
      </c>
      <c r="D92" s="298" t="s">
        <v>68</v>
      </c>
      <c r="E92" s="254"/>
      <c r="F92" s="298"/>
      <c r="G92" s="312"/>
      <c r="H92" s="259"/>
      <c r="I92" s="50"/>
      <c r="J92" s="52"/>
    </row>
    <row r="93" spans="1:10" ht="15" customHeight="1" x14ac:dyDescent="0.2">
      <c r="A93" s="254">
        <v>341</v>
      </c>
      <c r="B93" s="266" t="s">
        <v>147</v>
      </c>
      <c r="C93" s="310">
        <f>300000-200038</f>
        <v>99962</v>
      </c>
      <c r="D93" s="298" t="s">
        <v>68</v>
      </c>
      <c r="E93" s="302"/>
      <c r="F93" s="303" t="s">
        <v>94</v>
      </c>
      <c r="G93" s="253">
        <f>+G94</f>
        <v>1079099</v>
      </c>
      <c r="H93" s="259"/>
      <c r="I93" s="50"/>
      <c r="J93" s="52"/>
    </row>
    <row r="94" spans="1:10" ht="15" customHeight="1" x14ac:dyDescent="0.2">
      <c r="A94" s="254">
        <v>249</v>
      </c>
      <c r="B94" s="266" t="s">
        <v>82</v>
      </c>
      <c r="C94" s="312">
        <v>512094</v>
      </c>
      <c r="D94" s="252" t="s">
        <v>68</v>
      </c>
      <c r="E94" s="254"/>
      <c r="F94" s="313" t="s">
        <v>632</v>
      </c>
      <c r="G94" s="301">
        <f>+G95+G96</f>
        <v>1079099</v>
      </c>
      <c r="H94" s="259"/>
      <c r="I94" s="50"/>
      <c r="J94" s="52"/>
    </row>
    <row r="95" spans="1:10" ht="25.5" customHeight="1" x14ac:dyDescent="0.2">
      <c r="A95" s="254">
        <v>362</v>
      </c>
      <c r="B95" s="266" t="s">
        <v>86</v>
      </c>
      <c r="C95" s="312">
        <v>59025</v>
      </c>
      <c r="D95" s="252" t="s">
        <v>68</v>
      </c>
      <c r="E95" s="252">
        <v>621</v>
      </c>
      <c r="F95" s="266" t="s">
        <v>674</v>
      </c>
      <c r="G95" s="314">
        <v>579099</v>
      </c>
      <c r="H95" s="259" t="s">
        <v>318</v>
      </c>
      <c r="I95" s="50"/>
      <c r="J95" s="52"/>
    </row>
    <row r="96" spans="1:10" ht="25.5" customHeight="1" x14ac:dyDescent="0.2">
      <c r="A96" s="254">
        <v>369</v>
      </c>
      <c r="B96" s="266" t="s">
        <v>137</v>
      </c>
      <c r="C96" s="312">
        <v>751316</v>
      </c>
      <c r="D96" s="252" t="s">
        <v>68</v>
      </c>
      <c r="E96" s="252">
        <v>621</v>
      </c>
      <c r="F96" s="266" t="s">
        <v>674</v>
      </c>
      <c r="G96" s="314">
        <v>500000</v>
      </c>
      <c r="H96" s="259" t="s">
        <v>359</v>
      </c>
      <c r="I96" s="50"/>
      <c r="J96" s="52"/>
    </row>
    <row r="97" spans="1:10" ht="26.25" customHeight="1" x14ac:dyDescent="0.2">
      <c r="A97" s="254">
        <v>399</v>
      </c>
      <c r="B97" s="266" t="s">
        <v>71</v>
      </c>
      <c r="C97" s="312">
        <v>2247000</v>
      </c>
      <c r="D97" s="259" t="s">
        <v>667</v>
      </c>
      <c r="E97" s="254"/>
      <c r="F97" s="298"/>
      <c r="G97" s="312"/>
      <c r="H97" s="259"/>
      <c r="I97" s="50"/>
      <c r="J97" s="52"/>
    </row>
    <row r="98" spans="1:10" ht="12" customHeight="1" x14ac:dyDescent="0.2">
      <c r="A98" s="254"/>
      <c r="B98" s="298"/>
      <c r="C98" s="312"/>
      <c r="D98" s="252"/>
      <c r="E98" s="254"/>
      <c r="F98" s="298"/>
      <c r="G98" s="312"/>
      <c r="H98" s="259"/>
      <c r="I98" s="50"/>
      <c r="J98" s="52"/>
    </row>
    <row r="99" spans="1:10" ht="15" customHeight="1" x14ac:dyDescent="0.2">
      <c r="A99" s="302"/>
      <c r="B99" s="303" t="s">
        <v>94</v>
      </c>
      <c r="C99" s="304">
        <f>+C100</f>
        <v>9654730</v>
      </c>
      <c r="D99" s="305"/>
      <c r="E99" s="252"/>
      <c r="F99" s="252"/>
      <c r="G99" s="252"/>
      <c r="H99" s="259"/>
      <c r="I99" s="50"/>
      <c r="J99" s="52"/>
    </row>
    <row r="100" spans="1:10" ht="24.75" customHeight="1" x14ac:dyDescent="0.2">
      <c r="A100" s="302">
        <v>621</v>
      </c>
      <c r="B100" s="266" t="s">
        <v>674</v>
      </c>
      <c r="C100" s="305">
        <v>9654730</v>
      </c>
      <c r="D100" s="305" t="s">
        <v>79</v>
      </c>
      <c r="E100" s="259"/>
      <c r="F100" s="283"/>
      <c r="G100" s="270"/>
      <c r="H100" s="259"/>
      <c r="I100" s="50"/>
      <c r="J100" s="52"/>
    </row>
    <row r="101" spans="1:10" ht="15" customHeight="1" x14ac:dyDescent="0.2">
      <c r="A101" s="252"/>
      <c r="B101" s="252"/>
      <c r="C101" s="252"/>
      <c r="D101" s="252"/>
      <c r="E101" s="252"/>
      <c r="F101" s="252"/>
      <c r="G101" s="252"/>
      <c r="H101" s="259"/>
      <c r="I101" s="50"/>
      <c r="J101" s="52"/>
    </row>
    <row r="102" spans="1:10" ht="15" customHeight="1" x14ac:dyDescent="0.25">
      <c r="A102" s="252"/>
      <c r="B102" s="315" t="s">
        <v>675</v>
      </c>
      <c r="C102" s="272">
        <f>+C103+C116</f>
        <v>126661304</v>
      </c>
      <c r="D102" s="268"/>
      <c r="E102" s="252"/>
      <c r="F102" s="315" t="s">
        <v>675</v>
      </c>
      <c r="G102" s="272">
        <f>+G103+G116</f>
        <v>126661304</v>
      </c>
      <c r="H102" s="259"/>
      <c r="I102" s="50"/>
      <c r="J102" s="52"/>
    </row>
    <row r="103" spans="1:10" ht="15" customHeight="1" x14ac:dyDescent="0.2">
      <c r="A103" s="243"/>
      <c r="B103" s="295" t="s">
        <v>66</v>
      </c>
      <c r="C103" s="253">
        <f>SUM(C104:C111)</f>
        <v>77473000</v>
      </c>
      <c r="D103" s="259"/>
      <c r="E103" s="252"/>
      <c r="F103" s="295" t="s">
        <v>66</v>
      </c>
      <c r="G103" s="253">
        <f>SUM(G104:G114)</f>
        <v>75807000</v>
      </c>
      <c r="H103" s="259"/>
      <c r="I103" s="50"/>
      <c r="J103" s="52"/>
    </row>
    <row r="104" spans="1:10" ht="24" customHeight="1" x14ac:dyDescent="0.2">
      <c r="A104" s="254">
        <v>111</v>
      </c>
      <c r="B104" s="266" t="s">
        <v>90</v>
      </c>
      <c r="C104" s="255">
        <v>4571742</v>
      </c>
      <c r="D104" s="316" t="s">
        <v>68</v>
      </c>
      <c r="E104" s="262">
        <v>244</v>
      </c>
      <c r="F104" s="263" t="s">
        <v>99</v>
      </c>
      <c r="G104" s="317">
        <v>600000</v>
      </c>
      <c r="H104" s="259" t="s">
        <v>112</v>
      </c>
      <c r="I104" s="50"/>
      <c r="J104" s="52"/>
    </row>
    <row r="105" spans="1:10" ht="21" customHeight="1" x14ac:dyDescent="0.2">
      <c r="A105" s="254">
        <v>216</v>
      </c>
      <c r="B105" s="266" t="s">
        <v>131</v>
      </c>
      <c r="C105" s="255">
        <v>7000000</v>
      </c>
      <c r="D105" s="316" t="s">
        <v>68</v>
      </c>
      <c r="E105" s="254">
        <v>245</v>
      </c>
      <c r="F105" s="259" t="s">
        <v>119</v>
      </c>
      <c r="G105" s="255">
        <v>2740695</v>
      </c>
      <c r="H105" s="259" t="s">
        <v>68</v>
      </c>
      <c r="I105" s="50"/>
      <c r="J105" s="52"/>
    </row>
    <row r="106" spans="1:10" ht="27" customHeight="1" x14ac:dyDescent="0.2">
      <c r="A106" s="254">
        <v>221</v>
      </c>
      <c r="B106" s="266" t="s">
        <v>93</v>
      </c>
      <c r="C106" s="255">
        <v>674648</v>
      </c>
      <c r="D106" s="316" t="s">
        <v>68</v>
      </c>
      <c r="E106" s="262">
        <v>251</v>
      </c>
      <c r="F106" s="263" t="s">
        <v>676</v>
      </c>
      <c r="G106" s="317">
        <f>11508511-2776634</f>
        <v>8731877</v>
      </c>
      <c r="H106" s="259" t="s">
        <v>677</v>
      </c>
      <c r="I106" s="50"/>
      <c r="J106" s="52"/>
    </row>
    <row r="107" spans="1:10" ht="28.5" customHeight="1" x14ac:dyDescent="0.2">
      <c r="A107" s="254">
        <v>231</v>
      </c>
      <c r="B107" s="266" t="s">
        <v>123</v>
      </c>
      <c r="C107" s="274">
        <v>50000000</v>
      </c>
      <c r="D107" s="316" t="s">
        <v>68</v>
      </c>
      <c r="E107" s="254">
        <v>251</v>
      </c>
      <c r="F107" s="252" t="s">
        <v>676</v>
      </c>
      <c r="G107" s="255">
        <v>2776634</v>
      </c>
      <c r="H107" s="259" t="s">
        <v>75</v>
      </c>
      <c r="I107" s="50"/>
      <c r="J107" s="52"/>
    </row>
    <row r="108" spans="1:10" ht="27.75" customHeight="1" x14ac:dyDescent="0.2">
      <c r="A108" s="262">
        <v>252</v>
      </c>
      <c r="B108" s="266" t="s">
        <v>678</v>
      </c>
      <c r="C108" s="317">
        <v>9626610</v>
      </c>
      <c r="D108" s="259" t="s">
        <v>677</v>
      </c>
      <c r="E108" s="254">
        <v>252</v>
      </c>
      <c r="F108" s="252" t="s">
        <v>83</v>
      </c>
      <c r="G108" s="255">
        <v>30901416</v>
      </c>
      <c r="H108" s="259" t="s">
        <v>68</v>
      </c>
      <c r="I108" s="50"/>
      <c r="J108" s="52"/>
    </row>
    <row r="109" spans="1:10" ht="24" customHeight="1" x14ac:dyDescent="0.2">
      <c r="A109" s="254">
        <v>273</v>
      </c>
      <c r="B109" s="266" t="s">
        <v>679</v>
      </c>
      <c r="C109" s="255">
        <v>4100000</v>
      </c>
      <c r="D109" s="316" t="s">
        <v>68</v>
      </c>
      <c r="E109" s="262">
        <v>245</v>
      </c>
      <c r="F109" s="263" t="s">
        <v>119</v>
      </c>
      <c r="G109" s="317">
        <v>894733</v>
      </c>
      <c r="H109" s="259" t="s">
        <v>677</v>
      </c>
      <c r="I109" s="50"/>
      <c r="J109" s="52"/>
    </row>
    <row r="110" spans="1:10" ht="23.25" customHeight="1" x14ac:dyDescent="0.2">
      <c r="A110" s="254">
        <v>311</v>
      </c>
      <c r="B110" s="266" t="s">
        <v>161</v>
      </c>
      <c r="C110" s="255">
        <v>1000000</v>
      </c>
      <c r="D110" s="316" t="s">
        <v>68</v>
      </c>
      <c r="E110" s="262">
        <v>252</v>
      </c>
      <c r="F110" s="263" t="s">
        <v>83</v>
      </c>
      <c r="G110" s="317">
        <v>1500000</v>
      </c>
      <c r="H110" s="259" t="s">
        <v>112</v>
      </c>
      <c r="I110" s="50"/>
      <c r="J110" s="52"/>
    </row>
    <row r="111" spans="1:10" ht="15" customHeight="1" x14ac:dyDescent="0.2">
      <c r="A111" s="254">
        <v>391</v>
      </c>
      <c r="B111" s="266" t="s">
        <v>680</v>
      </c>
      <c r="C111" s="255">
        <v>500000</v>
      </c>
      <c r="D111" s="316" t="s">
        <v>68</v>
      </c>
      <c r="E111" s="254">
        <v>273</v>
      </c>
      <c r="F111" s="252" t="s">
        <v>679</v>
      </c>
      <c r="G111" s="255">
        <v>2820279</v>
      </c>
      <c r="H111" s="259" t="s">
        <v>68</v>
      </c>
      <c r="I111" s="50"/>
      <c r="J111" s="52"/>
    </row>
    <row r="112" spans="1:10" ht="27" customHeight="1" x14ac:dyDescent="0.2">
      <c r="A112" s="254"/>
      <c r="B112" s="252"/>
      <c r="C112" s="255"/>
      <c r="D112" s="259"/>
      <c r="E112" s="262">
        <v>273</v>
      </c>
      <c r="F112" s="263" t="s">
        <v>679</v>
      </c>
      <c r="G112" s="317">
        <v>1500000</v>
      </c>
      <c r="H112" s="259" t="s">
        <v>112</v>
      </c>
      <c r="I112" s="50"/>
      <c r="J112" s="52"/>
    </row>
    <row r="113" spans="1:10" ht="24" customHeight="1" x14ac:dyDescent="0.2">
      <c r="A113" s="254"/>
      <c r="B113" s="252"/>
      <c r="C113" s="255"/>
      <c r="D113" s="259"/>
      <c r="E113" s="254">
        <v>513</v>
      </c>
      <c r="F113" s="266" t="s">
        <v>681</v>
      </c>
      <c r="G113" s="255">
        <v>518000</v>
      </c>
      <c r="H113" s="259" t="s">
        <v>68</v>
      </c>
      <c r="I113" s="50"/>
      <c r="J113" s="52"/>
    </row>
    <row r="114" spans="1:10" ht="27" customHeight="1" x14ac:dyDescent="0.2">
      <c r="A114" s="254"/>
      <c r="B114" s="252"/>
      <c r="C114" s="255"/>
      <c r="D114" s="259"/>
      <c r="E114" s="254">
        <v>599</v>
      </c>
      <c r="F114" s="252" t="s">
        <v>682</v>
      </c>
      <c r="G114" s="255">
        <v>22823366</v>
      </c>
      <c r="H114" s="259" t="s">
        <v>75</v>
      </c>
      <c r="I114" s="50"/>
      <c r="J114" s="52"/>
    </row>
    <row r="115" spans="1:10" ht="15" customHeight="1" x14ac:dyDescent="0.2">
      <c r="A115" s="254"/>
      <c r="B115" s="252"/>
      <c r="C115" s="255"/>
      <c r="D115" s="259"/>
      <c r="E115" s="254"/>
      <c r="F115" s="252"/>
      <c r="G115" s="255"/>
      <c r="H115" s="259"/>
      <c r="I115" s="50"/>
      <c r="J115" s="52"/>
    </row>
    <row r="116" spans="1:10" ht="15" customHeight="1" x14ac:dyDescent="0.2">
      <c r="A116" s="252"/>
      <c r="B116" s="303" t="s">
        <v>94</v>
      </c>
      <c r="C116" s="253">
        <f>+C117+C122</f>
        <v>49188304</v>
      </c>
      <c r="D116" s="259"/>
      <c r="E116" s="254"/>
      <c r="F116" s="303" t="s">
        <v>94</v>
      </c>
      <c r="G116" s="253">
        <f>+G117+G120</f>
        <v>50854304</v>
      </c>
      <c r="H116" s="259"/>
      <c r="I116" s="50"/>
      <c r="J116" s="52"/>
    </row>
    <row r="117" spans="1:10" ht="15" customHeight="1" x14ac:dyDescent="0.2">
      <c r="A117" s="254"/>
      <c r="B117" s="250" t="s">
        <v>683</v>
      </c>
      <c r="C117" s="318">
        <f>SUM(C118:C120)</f>
        <v>4322000</v>
      </c>
      <c r="D117" s="259"/>
      <c r="E117" s="254"/>
      <c r="F117" s="250" t="s">
        <v>632</v>
      </c>
      <c r="G117" s="253">
        <f>+G118+G119</f>
        <v>50000000</v>
      </c>
      <c r="H117" s="259"/>
      <c r="I117" s="50"/>
      <c r="J117" s="52"/>
    </row>
    <row r="118" spans="1:10" ht="28.5" customHeight="1" x14ac:dyDescent="0.2">
      <c r="A118" s="254">
        <v>432</v>
      </c>
      <c r="B118" s="266" t="s">
        <v>89</v>
      </c>
      <c r="C118" s="274">
        <v>750000</v>
      </c>
      <c r="D118" s="316" t="s">
        <v>68</v>
      </c>
      <c r="E118" s="254">
        <v>629</v>
      </c>
      <c r="F118" s="259" t="s">
        <v>684</v>
      </c>
      <c r="G118" s="274">
        <v>27416000</v>
      </c>
      <c r="H118" s="259" t="s">
        <v>68</v>
      </c>
      <c r="I118" s="50"/>
      <c r="J118" s="52"/>
    </row>
    <row r="119" spans="1:10" ht="25.5" x14ac:dyDescent="0.2">
      <c r="A119" s="254">
        <v>433</v>
      </c>
      <c r="B119" s="266" t="s">
        <v>643</v>
      </c>
      <c r="C119" s="274">
        <v>750000</v>
      </c>
      <c r="D119" s="316" t="s">
        <v>68</v>
      </c>
      <c r="E119" s="254">
        <v>629</v>
      </c>
      <c r="F119" s="259" t="s">
        <v>684</v>
      </c>
      <c r="G119" s="274">
        <v>22584000</v>
      </c>
      <c r="H119" s="259" t="s">
        <v>75</v>
      </c>
      <c r="I119" s="50"/>
      <c r="J119" s="52"/>
    </row>
    <row r="120" spans="1:10" ht="15" customHeight="1" x14ac:dyDescent="0.2">
      <c r="A120" s="254">
        <v>433</v>
      </c>
      <c r="B120" s="266" t="s">
        <v>643</v>
      </c>
      <c r="C120" s="274">
        <v>2822000</v>
      </c>
      <c r="D120" s="259" t="s">
        <v>667</v>
      </c>
      <c r="E120" s="254"/>
      <c r="F120" s="250" t="s">
        <v>73</v>
      </c>
      <c r="G120" s="318">
        <f>+G121+G122</f>
        <v>854304</v>
      </c>
      <c r="H120" s="259"/>
      <c r="I120" s="50"/>
      <c r="J120" s="52"/>
    </row>
    <row r="121" spans="1:10" ht="27" customHeight="1" x14ac:dyDescent="0.2">
      <c r="A121" s="254"/>
      <c r="B121" s="252"/>
      <c r="C121" s="274"/>
      <c r="D121" s="259"/>
      <c r="E121" s="254"/>
      <c r="F121" s="259" t="s">
        <v>685</v>
      </c>
      <c r="G121" s="319">
        <v>100000</v>
      </c>
      <c r="H121" s="259" t="s">
        <v>686</v>
      </c>
      <c r="I121" s="50"/>
      <c r="J121" s="52"/>
    </row>
    <row r="122" spans="1:10" ht="28.5" customHeight="1" x14ac:dyDescent="0.2">
      <c r="A122" s="254"/>
      <c r="B122" s="250" t="s">
        <v>73</v>
      </c>
      <c r="C122" s="318">
        <f>SUM(C123:C131)</f>
        <v>44866304</v>
      </c>
      <c r="D122" s="259"/>
      <c r="E122" s="254"/>
      <c r="F122" s="259" t="s">
        <v>687</v>
      </c>
      <c r="G122" s="320">
        <v>754304</v>
      </c>
      <c r="H122" s="259" t="s">
        <v>307</v>
      </c>
      <c r="I122" s="50"/>
      <c r="J122" s="52"/>
    </row>
    <row r="123" spans="1:10" ht="25.5" customHeight="1" x14ac:dyDescent="0.2">
      <c r="A123" s="462"/>
      <c r="B123" s="266" t="s">
        <v>688</v>
      </c>
      <c r="C123" s="319">
        <v>25600000</v>
      </c>
      <c r="D123" s="259" t="s">
        <v>75</v>
      </c>
      <c r="E123" s="254"/>
      <c r="F123" s="305"/>
      <c r="G123" s="314"/>
      <c r="H123" s="259"/>
      <c r="I123" s="50"/>
      <c r="J123" s="52"/>
    </row>
    <row r="124" spans="1:10" ht="31.5" customHeight="1" x14ac:dyDescent="0.2">
      <c r="A124" s="463"/>
      <c r="B124" s="266" t="s">
        <v>689</v>
      </c>
      <c r="C124" s="319">
        <v>8065869</v>
      </c>
      <c r="D124" s="259" t="s">
        <v>667</v>
      </c>
      <c r="E124" s="254"/>
      <c r="F124" s="305"/>
      <c r="G124" s="314"/>
      <c r="H124" s="259"/>
      <c r="I124" s="50"/>
      <c r="J124" s="52"/>
    </row>
    <row r="125" spans="1:10" ht="27.75" customHeight="1" x14ac:dyDescent="0.2">
      <c r="A125" s="463"/>
      <c r="B125" s="266" t="s">
        <v>690</v>
      </c>
      <c r="C125" s="319">
        <v>137533</v>
      </c>
      <c r="D125" s="259" t="s">
        <v>667</v>
      </c>
      <c r="E125" s="254"/>
      <c r="F125" s="305"/>
      <c r="G125" s="314"/>
      <c r="H125" s="259"/>
      <c r="I125" s="50"/>
      <c r="J125" s="52"/>
    </row>
    <row r="126" spans="1:10" ht="28.5" customHeight="1" x14ac:dyDescent="0.2">
      <c r="A126" s="462"/>
      <c r="B126" s="266" t="s">
        <v>691</v>
      </c>
      <c r="C126" s="319">
        <v>2769705</v>
      </c>
      <c r="D126" s="278" t="s">
        <v>686</v>
      </c>
      <c r="E126" s="254"/>
      <c r="F126" s="305"/>
      <c r="G126" s="314"/>
      <c r="H126" s="259"/>
      <c r="I126" s="50"/>
      <c r="J126" s="52"/>
    </row>
    <row r="127" spans="1:10" ht="25.5" customHeight="1" x14ac:dyDescent="0.2">
      <c r="A127" s="462"/>
      <c r="B127" s="266" t="s">
        <v>692</v>
      </c>
      <c r="C127" s="319">
        <v>2391327</v>
      </c>
      <c r="D127" s="259" t="s">
        <v>686</v>
      </c>
      <c r="E127" s="254"/>
      <c r="F127" s="305"/>
      <c r="G127" s="314"/>
      <c r="H127" s="259"/>
      <c r="I127" s="50"/>
      <c r="J127" s="52"/>
    </row>
    <row r="128" spans="1:10" ht="29.25" customHeight="1" x14ac:dyDescent="0.2">
      <c r="A128" s="463"/>
      <c r="B128" s="266" t="s">
        <v>693</v>
      </c>
      <c r="C128" s="319">
        <v>3571722</v>
      </c>
      <c r="D128" s="259" t="s">
        <v>307</v>
      </c>
      <c r="E128" s="254"/>
      <c r="F128" s="305"/>
      <c r="G128" s="314"/>
      <c r="H128" s="259"/>
      <c r="I128" s="50"/>
      <c r="J128" s="52"/>
    </row>
    <row r="129" spans="1:10" ht="27" customHeight="1" x14ac:dyDescent="0.2">
      <c r="A129" s="463"/>
      <c r="B129" s="266" t="s">
        <v>694</v>
      </c>
      <c r="C129" s="319">
        <v>585459</v>
      </c>
      <c r="D129" s="259" t="s">
        <v>307</v>
      </c>
      <c r="E129" s="254"/>
      <c r="F129" s="305"/>
      <c r="G129" s="314"/>
      <c r="H129" s="259"/>
      <c r="I129" s="50"/>
      <c r="J129" s="52"/>
    </row>
    <row r="130" spans="1:10" ht="29.25" customHeight="1" x14ac:dyDescent="0.2">
      <c r="A130" s="463"/>
      <c r="B130" s="266" t="s">
        <v>695</v>
      </c>
      <c r="C130" s="319">
        <v>1196942</v>
      </c>
      <c r="D130" s="259" t="s">
        <v>307</v>
      </c>
      <c r="E130" s="254"/>
      <c r="F130" s="305"/>
      <c r="G130" s="314"/>
      <c r="H130" s="259"/>
      <c r="I130" s="50"/>
      <c r="J130" s="52"/>
    </row>
    <row r="131" spans="1:10" ht="28.5" customHeight="1" x14ac:dyDescent="0.2">
      <c r="A131" s="463"/>
      <c r="B131" s="266" t="s">
        <v>143</v>
      </c>
      <c r="C131" s="319">
        <v>547747</v>
      </c>
      <c r="D131" s="259" t="s">
        <v>667</v>
      </c>
      <c r="E131" s="254"/>
      <c r="F131" s="305"/>
      <c r="G131" s="314"/>
      <c r="H131" s="259"/>
      <c r="I131" s="50"/>
      <c r="J131" s="52"/>
    </row>
    <row r="132" spans="1:10" ht="15" customHeight="1" x14ac:dyDescent="0.2">
      <c r="A132" s="463"/>
      <c r="B132" s="259"/>
      <c r="C132" s="274"/>
      <c r="D132" s="259"/>
      <c r="E132" s="254"/>
      <c r="F132" s="305"/>
      <c r="G132" s="314"/>
      <c r="H132" s="259"/>
      <c r="I132" s="50"/>
      <c r="J132" s="52"/>
    </row>
    <row r="133" spans="1:10" ht="15" customHeight="1" x14ac:dyDescent="0.25">
      <c r="A133" s="464"/>
      <c r="B133" s="321" t="s">
        <v>951</v>
      </c>
      <c r="C133" s="322">
        <f>+C134+C140</f>
        <v>10657613</v>
      </c>
      <c r="D133" s="243"/>
      <c r="E133" s="323"/>
      <c r="F133" s="321" t="s">
        <v>951</v>
      </c>
      <c r="G133" s="324">
        <f>+G134+G140</f>
        <v>10657613</v>
      </c>
      <c r="H133" s="259"/>
      <c r="I133" s="50"/>
      <c r="J133" s="52"/>
    </row>
    <row r="134" spans="1:10" ht="15" customHeight="1" x14ac:dyDescent="0.25">
      <c r="A134" s="464"/>
      <c r="B134" s="304" t="s">
        <v>66</v>
      </c>
      <c r="C134" s="251">
        <f>SUM(C135:C139)</f>
        <v>9855483</v>
      </c>
      <c r="D134" s="324"/>
      <c r="E134" s="324"/>
      <c r="F134" s="304" t="s">
        <v>66</v>
      </c>
      <c r="G134" s="325">
        <f>+G135+G136+G137</f>
        <v>8560634</v>
      </c>
      <c r="H134" s="259"/>
      <c r="I134" s="50"/>
      <c r="J134" s="52"/>
    </row>
    <row r="135" spans="1:10" ht="29.25" customHeight="1" x14ac:dyDescent="0.2">
      <c r="A135" s="262">
        <v>111</v>
      </c>
      <c r="B135" s="266" t="s">
        <v>90</v>
      </c>
      <c r="C135" s="264">
        <v>6022000</v>
      </c>
      <c r="D135" s="278" t="s">
        <v>112</v>
      </c>
      <c r="E135" s="254">
        <v>111</v>
      </c>
      <c r="F135" s="261" t="s">
        <v>90</v>
      </c>
      <c r="G135" s="257">
        <v>6022000</v>
      </c>
      <c r="H135" s="259" t="s">
        <v>68</v>
      </c>
      <c r="I135" s="50"/>
      <c r="J135" s="52"/>
    </row>
    <row r="136" spans="1:10" ht="29.25" customHeight="1" x14ac:dyDescent="0.2">
      <c r="A136" s="465">
        <v>231</v>
      </c>
      <c r="B136" s="266" t="s">
        <v>123</v>
      </c>
      <c r="C136" s="264">
        <v>262650</v>
      </c>
      <c r="D136" s="278" t="s">
        <v>112</v>
      </c>
      <c r="E136" s="254">
        <v>216</v>
      </c>
      <c r="F136" s="261" t="s">
        <v>131</v>
      </c>
      <c r="G136" s="257">
        <v>1771000</v>
      </c>
      <c r="H136" s="259" t="s">
        <v>68</v>
      </c>
      <c r="I136" s="50"/>
      <c r="J136" s="52"/>
    </row>
    <row r="137" spans="1:10" ht="29.25" customHeight="1" x14ac:dyDescent="0.2">
      <c r="A137" s="465">
        <v>243</v>
      </c>
      <c r="B137" s="266" t="s">
        <v>70</v>
      </c>
      <c r="C137" s="264">
        <v>1508350</v>
      </c>
      <c r="D137" s="278" t="s">
        <v>112</v>
      </c>
      <c r="E137" s="254">
        <v>581</v>
      </c>
      <c r="F137" s="261" t="s">
        <v>140</v>
      </c>
      <c r="G137" s="257">
        <v>767634</v>
      </c>
      <c r="H137" s="259" t="s">
        <v>68</v>
      </c>
      <c r="I137" s="50"/>
      <c r="J137" s="52"/>
    </row>
    <row r="138" spans="1:10" ht="29.25" customHeight="1" x14ac:dyDescent="0.2">
      <c r="A138" s="254">
        <v>579</v>
      </c>
      <c r="B138" s="266" t="s">
        <v>696</v>
      </c>
      <c r="C138" s="265">
        <v>1294849</v>
      </c>
      <c r="D138" s="259" t="s">
        <v>68</v>
      </c>
      <c r="E138" s="252"/>
      <c r="F138" s="261"/>
      <c r="G138" s="257"/>
      <c r="H138" s="259"/>
      <c r="I138" s="50"/>
      <c r="J138" s="52"/>
    </row>
    <row r="139" spans="1:10" ht="26.25" customHeight="1" x14ac:dyDescent="0.2">
      <c r="A139" s="262">
        <v>581</v>
      </c>
      <c r="B139" s="266" t="s">
        <v>140</v>
      </c>
      <c r="C139" s="264">
        <v>767634</v>
      </c>
      <c r="D139" s="278" t="s">
        <v>112</v>
      </c>
      <c r="E139" s="304"/>
      <c r="F139" s="304"/>
      <c r="G139" s="326"/>
      <c r="H139" s="259"/>
      <c r="I139" s="50"/>
      <c r="J139" s="52"/>
    </row>
    <row r="140" spans="1:10" ht="15" customHeight="1" x14ac:dyDescent="0.2">
      <c r="A140" s="464"/>
      <c r="B140" s="303" t="s">
        <v>94</v>
      </c>
      <c r="C140" s="327">
        <f>+C141</f>
        <v>802130</v>
      </c>
      <c r="D140" s="305"/>
      <c r="E140" s="305"/>
      <c r="F140" s="303" t="s">
        <v>94</v>
      </c>
      <c r="G140" s="328">
        <f>+G141+G143</f>
        <v>2096979</v>
      </c>
      <c r="H140" s="259"/>
      <c r="I140" s="50"/>
      <c r="J140" s="52"/>
    </row>
    <row r="141" spans="1:10" ht="15" customHeight="1" x14ac:dyDescent="0.2">
      <c r="A141" s="464"/>
      <c r="B141" s="329" t="s">
        <v>73</v>
      </c>
      <c r="C141" s="327">
        <f>+C142+C143</f>
        <v>802130</v>
      </c>
      <c r="D141" s="304"/>
      <c r="E141" s="330"/>
      <c r="F141" s="329" t="s">
        <v>73</v>
      </c>
      <c r="G141" s="328">
        <f>+G142</f>
        <v>802130</v>
      </c>
      <c r="H141" s="259"/>
      <c r="I141" s="50"/>
      <c r="J141" s="52"/>
    </row>
    <row r="142" spans="1:10" ht="39" customHeight="1" x14ac:dyDescent="0.2">
      <c r="A142" s="464"/>
      <c r="B142" s="266" t="s">
        <v>697</v>
      </c>
      <c r="C142" s="257">
        <v>45365</v>
      </c>
      <c r="D142" s="252" t="s">
        <v>307</v>
      </c>
      <c r="E142" s="302"/>
      <c r="F142" s="261" t="s">
        <v>698</v>
      </c>
      <c r="G142" s="331">
        <v>802130</v>
      </c>
      <c r="H142" s="259" t="s">
        <v>309</v>
      </c>
      <c r="I142" s="50"/>
      <c r="J142" s="52"/>
    </row>
    <row r="143" spans="1:10" ht="32.25" customHeight="1" x14ac:dyDescent="0.2">
      <c r="A143" s="464"/>
      <c r="B143" s="266" t="s">
        <v>699</v>
      </c>
      <c r="C143" s="257">
        <v>756765</v>
      </c>
      <c r="D143" s="252" t="s">
        <v>307</v>
      </c>
      <c r="E143" s="302"/>
      <c r="F143" s="250" t="s">
        <v>632</v>
      </c>
      <c r="G143" s="328">
        <f>+G144</f>
        <v>1294849</v>
      </c>
      <c r="H143" s="259"/>
      <c r="I143" s="50"/>
      <c r="J143" s="52"/>
    </row>
    <row r="144" spans="1:10" ht="30.75" customHeight="1" x14ac:dyDescent="0.2">
      <c r="A144" s="464"/>
      <c r="B144" s="261"/>
      <c r="C144" s="257"/>
      <c r="D144" s="252"/>
      <c r="E144" s="302">
        <v>679</v>
      </c>
      <c r="F144" s="261" t="s">
        <v>700</v>
      </c>
      <c r="G144" s="331">
        <v>1294849</v>
      </c>
      <c r="H144" s="259" t="s">
        <v>309</v>
      </c>
      <c r="I144" s="50"/>
      <c r="J144" s="52"/>
    </row>
    <row r="145" spans="1:10" ht="15" customHeight="1" x14ac:dyDescent="0.2">
      <c r="A145" s="463"/>
      <c r="B145" s="259"/>
      <c r="C145" s="274"/>
      <c r="D145" s="259"/>
      <c r="E145" s="254"/>
      <c r="F145" s="305"/>
      <c r="G145" s="314"/>
      <c r="H145" s="259"/>
      <c r="I145" s="50"/>
      <c r="J145" s="52"/>
    </row>
    <row r="146" spans="1:10" ht="33" customHeight="1" x14ac:dyDescent="0.25">
      <c r="A146" s="252"/>
      <c r="B146" s="579" t="s">
        <v>701</v>
      </c>
      <c r="C146" s="333">
        <f>+C147+C153</f>
        <v>6059269</v>
      </c>
      <c r="D146" s="252"/>
      <c r="E146" s="252"/>
      <c r="F146" s="579" t="s">
        <v>701</v>
      </c>
      <c r="G146" s="333">
        <f>+G147+G153</f>
        <v>6059269</v>
      </c>
      <c r="H146" s="259"/>
      <c r="I146" s="50"/>
      <c r="J146" s="52"/>
    </row>
    <row r="147" spans="1:10" ht="15" customHeight="1" x14ac:dyDescent="0.2">
      <c r="A147" s="250"/>
      <c r="B147" s="250" t="s">
        <v>66</v>
      </c>
      <c r="C147" s="334">
        <f>SUM(C148:C151)</f>
        <v>4838000</v>
      </c>
      <c r="D147" s="318"/>
      <c r="E147" s="335"/>
      <c r="F147" s="336" t="s">
        <v>66</v>
      </c>
      <c r="G147" s="334">
        <f>SUM(G148:G151)</f>
        <v>4838000</v>
      </c>
      <c r="H147" s="259"/>
      <c r="I147" s="50"/>
      <c r="J147" s="52"/>
    </row>
    <row r="148" spans="1:10" ht="24.75" customHeight="1" x14ac:dyDescent="0.2">
      <c r="A148" s="335">
        <v>231</v>
      </c>
      <c r="B148" s="266" t="s">
        <v>702</v>
      </c>
      <c r="C148" s="337">
        <v>248700</v>
      </c>
      <c r="D148" s="316" t="s">
        <v>68</v>
      </c>
      <c r="E148" s="338">
        <v>216</v>
      </c>
      <c r="F148" s="339" t="s">
        <v>96</v>
      </c>
      <c r="G148" s="340">
        <v>2150000</v>
      </c>
      <c r="H148" s="259" t="s">
        <v>112</v>
      </c>
      <c r="I148" s="50"/>
      <c r="J148" s="52"/>
    </row>
    <row r="149" spans="1:10" ht="27" customHeight="1" x14ac:dyDescent="0.2">
      <c r="A149" s="335">
        <v>299</v>
      </c>
      <c r="B149" s="266" t="s">
        <v>85</v>
      </c>
      <c r="C149" s="337">
        <v>1900000</v>
      </c>
      <c r="D149" s="316" t="s">
        <v>68</v>
      </c>
      <c r="E149" s="338">
        <v>231</v>
      </c>
      <c r="F149" s="339" t="s">
        <v>702</v>
      </c>
      <c r="G149" s="340">
        <v>350000</v>
      </c>
      <c r="H149" s="259" t="s">
        <v>112</v>
      </c>
      <c r="I149" s="50"/>
      <c r="J149" s="52"/>
    </row>
    <row r="150" spans="1:10" ht="25.5" customHeight="1" x14ac:dyDescent="0.2">
      <c r="A150" s="335">
        <v>399</v>
      </c>
      <c r="B150" s="266" t="s">
        <v>71</v>
      </c>
      <c r="C150" s="337">
        <v>2653000</v>
      </c>
      <c r="D150" s="316" t="s">
        <v>68</v>
      </c>
      <c r="E150" s="338">
        <v>233</v>
      </c>
      <c r="F150" s="339" t="s">
        <v>133</v>
      </c>
      <c r="G150" s="340">
        <v>300000</v>
      </c>
      <c r="H150" s="259" t="s">
        <v>112</v>
      </c>
      <c r="I150" s="50"/>
      <c r="J150" s="52"/>
    </row>
    <row r="151" spans="1:10" ht="25.5" customHeight="1" x14ac:dyDescent="0.2">
      <c r="A151" s="335">
        <v>581</v>
      </c>
      <c r="B151" s="266" t="s">
        <v>703</v>
      </c>
      <c r="C151" s="337">
        <v>36300</v>
      </c>
      <c r="D151" s="316" t="s">
        <v>68</v>
      </c>
      <c r="E151" s="338">
        <v>273</v>
      </c>
      <c r="F151" s="339" t="s">
        <v>114</v>
      </c>
      <c r="G151" s="340">
        <v>2038000</v>
      </c>
      <c r="H151" s="259" t="s">
        <v>112</v>
      </c>
      <c r="I151" s="50"/>
      <c r="J151" s="52"/>
    </row>
    <row r="152" spans="1:10" ht="15" customHeight="1" x14ac:dyDescent="0.2">
      <c r="A152" s="254"/>
      <c r="B152" s="266"/>
      <c r="C152" s="275"/>
      <c r="D152" s="258"/>
      <c r="E152" s="259"/>
      <c r="F152" s="283"/>
      <c r="G152" s="270"/>
      <c r="H152" s="259"/>
      <c r="I152" s="50"/>
      <c r="J152" s="52"/>
    </row>
    <row r="153" spans="1:10" ht="15" customHeight="1" x14ac:dyDescent="0.2">
      <c r="A153" s="254"/>
      <c r="B153" s="336" t="s">
        <v>94</v>
      </c>
      <c r="C153" s="341">
        <f>SUM(C155:C157)</f>
        <v>1221269</v>
      </c>
      <c r="D153" s="342"/>
      <c r="E153" s="343"/>
      <c r="F153" s="336" t="s">
        <v>94</v>
      </c>
      <c r="G153" s="344">
        <f>SUM(G155:G157)</f>
        <v>1221269</v>
      </c>
      <c r="H153" s="259"/>
      <c r="I153" s="50"/>
      <c r="J153" s="52"/>
    </row>
    <row r="154" spans="1:10" ht="15" customHeight="1" x14ac:dyDescent="0.2">
      <c r="A154" s="254"/>
      <c r="B154" s="345" t="s">
        <v>73</v>
      </c>
      <c r="C154" s="341">
        <f>SUM(C155:C156)</f>
        <v>1221269</v>
      </c>
      <c r="D154" s="342"/>
      <c r="E154" s="343"/>
      <c r="F154" s="345" t="s">
        <v>73</v>
      </c>
      <c r="G154" s="344">
        <f>SUM(G155:G157)</f>
        <v>1221269</v>
      </c>
      <c r="H154" s="259"/>
      <c r="I154" s="50"/>
      <c r="J154" s="52"/>
    </row>
    <row r="155" spans="1:10" ht="43.5" customHeight="1" x14ac:dyDescent="0.2">
      <c r="A155" s="254"/>
      <c r="B155" s="266" t="s">
        <v>704</v>
      </c>
      <c r="C155" s="346">
        <v>100289</v>
      </c>
      <c r="D155" s="316" t="s">
        <v>68</v>
      </c>
      <c r="E155" s="343"/>
      <c r="F155" s="347" t="s">
        <v>705</v>
      </c>
      <c r="G155" s="348">
        <v>100289</v>
      </c>
      <c r="H155" s="259" t="s">
        <v>68</v>
      </c>
      <c r="I155" s="50"/>
      <c r="J155" s="52"/>
    </row>
    <row r="156" spans="1:10" ht="40.5" customHeight="1" x14ac:dyDescent="0.2">
      <c r="A156" s="254"/>
      <c r="B156" s="266" t="s">
        <v>704</v>
      </c>
      <c r="C156" s="346">
        <v>1120980</v>
      </c>
      <c r="D156" s="342" t="s">
        <v>80</v>
      </c>
      <c r="E156" s="343"/>
      <c r="F156" s="347" t="s">
        <v>705</v>
      </c>
      <c r="G156" s="348">
        <v>620980</v>
      </c>
      <c r="H156" s="259" t="s">
        <v>79</v>
      </c>
      <c r="I156" s="50"/>
      <c r="J156" s="52"/>
    </row>
    <row r="157" spans="1:10" ht="27" customHeight="1" x14ac:dyDescent="0.2">
      <c r="A157" s="254"/>
      <c r="B157" s="349"/>
      <c r="C157" s="346"/>
      <c r="D157" s="350"/>
      <c r="E157" s="343"/>
      <c r="F157" s="347" t="s">
        <v>706</v>
      </c>
      <c r="G157" s="348">
        <v>500000</v>
      </c>
      <c r="H157" s="259" t="s">
        <v>80</v>
      </c>
      <c r="I157" s="50"/>
      <c r="J157" s="52"/>
    </row>
    <row r="158" spans="1:10" ht="15" customHeight="1" x14ac:dyDescent="0.2">
      <c r="A158" s="254"/>
      <c r="B158" s="349"/>
      <c r="C158" s="346"/>
      <c r="D158" s="350"/>
      <c r="E158" s="343"/>
      <c r="F158" s="351"/>
      <c r="G158" s="348"/>
      <c r="H158" s="259"/>
      <c r="I158" s="50"/>
      <c r="J158" s="52"/>
    </row>
    <row r="159" spans="1:10" ht="15" customHeight="1" x14ac:dyDescent="0.25">
      <c r="A159" s="252"/>
      <c r="B159" s="352" t="s">
        <v>707</v>
      </c>
      <c r="C159" s="353">
        <f>+C160+C168</f>
        <v>152182432</v>
      </c>
      <c r="D159" s="343"/>
      <c r="E159" s="343"/>
      <c r="F159" s="352" t="s">
        <v>707</v>
      </c>
      <c r="G159" s="353">
        <f>+G160+G184</f>
        <v>152182432</v>
      </c>
      <c r="H159" s="259"/>
      <c r="I159" s="50"/>
      <c r="J159" s="52"/>
    </row>
    <row r="160" spans="1:10" ht="15" customHeight="1" x14ac:dyDescent="0.2">
      <c r="A160" s="343"/>
      <c r="B160" s="295" t="s">
        <v>66</v>
      </c>
      <c r="C160" s="354">
        <f>+SUM(C161:C166)</f>
        <v>63996051</v>
      </c>
      <c r="D160" s="343"/>
      <c r="E160" s="343"/>
      <c r="F160" s="295" t="s">
        <v>66</v>
      </c>
      <c r="G160" s="355">
        <f>+SUM(G161:G182)</f>
        <v>131243007</v>
      </c>
      <c r="H160" s="259"/>
      <c r="I160" s="50"/>
      <c r="J160" s="52"/>
    </row>
    <row r="161" spans="1:10" ht="15" customHeight="1" x14ac:dyDescent="0.2">
      <c r="A161" s="358">
        <v>111</v>
      </c>
      <c r="B161" s="266" t="s">
        <v>90</v>
      </c>
      <c r="C161" s="356">
        <f>15023000+12877000</f>
        <v>27900000</v>
      </c>
      <c r="D161" s="357" t="s">
        <v>68</v>
      </c>
      <c r="E161" s="358">
        <v>162</v>
      </c>
      <c r="F161" s="351" t="s">
        <v>153</v>
      </c>
      <c r="G161" s="356">
        <f>52500000+16755075</f>
        <v>69255075</v>
      </c>
      <c r="H161" s="259" t="s">
        <v>79</v>
      </c>
      <c r="I161" s="50"/>
      <c r="J161" s="52"/>
    </row>
    <row r="162" spans="1:10" ht="27" customHeight="1" x14ac:dyDescent="0.2">
      <c r="A162" s="358">
        <v>191</v>
      </c>
      <c r="B162" s="266" t="s">
        <v>103</v>
      </c>
      <c r="C162" s="356">
        <v>5000000</v>
      </c>
      <c r="D162" s="357" t="s">
        <v>68</v>
      </c>
      <c r="E162" s="338">
        <v>232</v>
      </c>
      <c r="F162" s="278" t="s">
        <v>132</v>
      </c>
      <c r="G162" s="359">
        <v>236208</v>
      </c>
      <c r="H162" s="259" t="s">
        <v>328</v>
      </c>
      <c r="I162" s="50"/>
      <c r="J162" s="52"/>
    </row>
    <row r="163" spans="1:10" ht="29.25" customHeight="1" x14ac:dyDescent="0.2">
      <c r="A163" s="338">
        <v>131</v>
      </c>
      <c r="B163" s="266" t="s">
        <v>135</v>
      </c>
      <c r="C163" s="359">
        <v>10000000</v>
      </c>
      <c r="D163" s="278" t="s">
        <v>112</v>
      </c>
      <c r="E163" s="358">
        <v>243</v>
      </c>
      <c r="F163" s="278" t="s">
        <v>70</v>
      </c>
      <c r="G163" s="356">
        <v>110000</v>
      </c>
      <c r="H163" s="259" t="s">
        <v>79</v>
      </c>
      <c r="I163" s="50"/>
      <c r="J163" s="52"/>
    </row>
    <row r="164" spans="1:10" ht="29.25" customHeight="1" x14ac:dyDescent="0.2">
      <c r="A164" s="338">
        <v>232</v>
      </c>
      <c r="B164" s="266" t="s">
        <v>132</v>
      </c>
      <c r="C164" s="361">
        <v>2000000</v>
      </c>
      <c r="D164" s="278" t="s">
        <v>112</v>
      </c>
      <c r="E164" s="358">
        <v>244</v>
      </c>
      <c r="F164" s="360" t="s">
        <v>99</v>
      </c>
      <c r="G164" s="356">
        <v>385600</v>
      </c>
      <c r="H164" s="259" t="s">
        <v>708</v>
      </c>
      <c r="I164" s="50"/>
      <c r="J164" s="52"/>
    </row>
    <row r="165" spans="1:10" ht="27.75" customHeight="1" x14ac:dyDescent="0.25">
      <c r="A165" s="358">
        <v>248</v>
      </c>
      <c r="B165" s="266" t="s">
        <v>709</v>
      </c>
      <c r="C165" s="287">
        <v>16755075</v>
      </c>
      <c r="D165" s="252" t="s">
        <v>98</v>
      </c>
      <c r="E165" s="358">
        <v>248</v>
      </c>
      <c r="F165" s="360" t="s">
        <v>709</v>
      </c>
      <c r="G165" s="356">
        <v>5000000</v>
      </c>
      <c r="H165" s="259" t="s">
        <v>79</v>
      </c>
      <c r="I165" s="50"/>
      <c r="J165" s="52"/>
    </row>
    <row r="166" spans="1:10" ht="27.75" customHeight="1" x14ac:dyDescent="0.2">
      <c r="A166" s="338">
        <v>273</v>
      </c>
      <c r="B166" s="266" t="s">
        <v>114</v>
      </c>
      <c r="C166" s="361">
        <v>2340976</v>
      </c>
      <c r="D166" s="278" t="s">
        <v>112</v>
      </c>
      <c r="E166" s="358">
        <v>252</v>
      </c>
      <c r="F166" s="360" t="s">
        <v>83</v>
      </c>
      <c r="G166" s="356">
        <v>562000</v>
      </c>
      <c r="H166" s="259" t="s">
        <v>708</v>
      </c>
      <c r="I166" s="50"/>
      <c r="J166" s="52"/>
    </row>
    <row r="167" spans="1:10" ht="15" customHeight="1" x14ac:dyDescent="0.2">
      <c r="A167" s="358"/>
      <c r="B167" s="360"/>
      <c r="C167" s="362"/>
      <c r="D167" s="363"/>
      <c r="E167" s="358">
        <v>273</v>
      </c>
      <c r="F167" s="360" t="s">
        <v>114</v>
      </c>
      <c r="G167" s="356">
        <v>2000000</v>
      </c>
      <c r="H167" s="259" t="s">
        <v>79</v>
      </c>
      <c r="I167" s="50"/>
      <c r="J167" s="52"/>
    </row>
    <row r="168" spans="1:10" ht="15" customHeight="1" x14ac:dyDescent="0.2">
      <c r="A168" s="358"/>
      <c r="B168" s="295" t="s">
        <v>710</v>
      </c>
      <c r="C168" s="364">
        <f>+C169+C178</f>
        <v>88186381</v>
      </c>
      <c r="D168" s="357"/>
      <c r="E168" s="358">
        <v>273</v>
      </c>
      <c r="F168" s="360" t="s">
        <v>114</v>
      </c>
      <c r="G168" s="356">
        <v>15023000</v>
      </c>
      <c r="H168" s="259" t="s">
        <v>75</v>
      </c>
      <c r="I168" s="50"/>
      <c r="J168" s="52"/>
    </row>
    <row r="169" spans="1:10" ht="24.75" customHeight="1" x14ac:dyDescent="0.2">
      <c r="A169" s="358"/>
      <c r="B169" s="345" t="s">
        <v>73</v>
      </c>
      <c r="C169" s="364">
        <f>SUM(C170:C176)</f>
        <v>53937381</v>
      </c>
      <c r="D169" s="357"/>
      <c r="E169" s="338">
        <v>273</v>
      </c>
      <c r="F169" s="365" t="s">
        <v>114</v>
      </c>
      <c r="G169" s="359">
        <v>2909525</v>
      </c>
      <c r="H169" s="259" t="s">
        <v>711</v>
      </c>
      <c r="I169" s="50"/>
      <c r="J169" s="52"/>
    </row>
    <row r="170" spans="1:10" ht="24" customHeight="1" x14ac:dyDescent="0.2">
      <c r="A170" s="338"/>
      <c r="B170" s="266" t="s">
        <v>712</v>
      </c>
      <c r="C170" s="366">
        <v>205858</v>
      </c>
      <c r="D170" s="259" t="s">
        <v>75</v>
      </c>
      <c r="E170" s="358">
        <v>273</v>
      </c>
      <c r="F170" s="360" t="s">
        <v>114</v>
      </c>
      <c r="G170" s="356">
        <v>1095000</v>
      </c>
      <c r="H170" s="259" t="s">
        <v>708</v>
      </c>
      <c r="I170" s="50"/>
      <c r="J170" s="52"/>
    </row>
    <row r="171" spans="1:10" ht="40.5" customHeight="1" x14ac:dyDescent="0.2">
      <c r="A171" s="338"/>
      <c r="B171" s="266" t="s">
        <v>713</v>
      </c>
      <c r="C171" s="366">
        <v>27778220</v>
      </c>
      <c r="D171" s="278" t="s">
        <v>75</v>
      </c>
      <c r="E171" s="338">
        <v>273</v>
      </c>
      <c r="F171" s="365" t="s">
        <v>114</v>
      </c>
      <c r="G171" s="359">
        <v>1200000</v>
      </c>
      <c r="H171" s="259" t="s">
        <v>714</v>
      </c>
      <c r="I171" s="50"/>
      <c r="J171" s="52"/>
    </row>
    <row r="172" spans="1:10" ht="28.5" customHeight="1" x14ac:dyDescent="0.2">
      <c r="A172" s="338"/>
      <c r="B172" s="266" t="s">
        <v>321</v>
      </c>
      <c r="C172" s="366">
        <v>150000</v>
      </c>
      <c r="D172" s="278" t="s">
        <v>75</v>
      </c>
      <c r="E172" s="338">
        <v>299</v>
      </c>
      <c r="F172" s="365" t="s">
        <v>272</v>
      </c>
      <c r="G172" s="359">
        <v>2909525</v>
      </c>
      <c r="H172" s="259" t="s">
        <v>711</v>
      </c>
      <c r="I172" s="50"/>
      <c r="J172" s="52"/>
    </row>
    <row r="173" spans="1:10" ht="30.75" customHeight="1" x14ac:dyDescent="0.2">
      <c r="A173" s="338"/>
      <c r="B173" s="266" t="s">
        <v>331</v>
      </c>
      <c r="C173" s="366">
        <v>13670116</v>
      </c>
      <c r="D173" s="278" t="s">
        <v>75</v>
      </c>
      <c r="E173" s="338">
        <v>311</v>
      </c>
      <c r="F173" s="365" t="s">
        <v>161</v>
      </c>
      <c r="G173" s="359">
        <v>5819050</v>
      </c>
      <c r="H173" s="259" t="s">
        <v>711</v>
      </c>
      <c r="I173" s="50"/>
      <c r="J173" s="52"/>
    </row>
    <row r="174" spans="1:10" ht="15" customHeight="1" x14ac:dyDescent="0.2">
      <c r="A174" s="358"/>
      <c r="B174" s="266" t="s">
        <v>715</v>
      </c>
      <c r="C174" s="367">
        <v>2815174</v>
      </c>
      <c r="D174" s="363" t="s">
        <v>68</v>
      </c>
      <c r="E174" s="358">
        <v>311</v>
      </c>
      <c r="F174" s="360" t="s">
        <v>161</v>
      </c>
      <c r="G174" s="356">
        <v>1080000</v>
      </c>
      <c r="H174" s="259" t="s">
        <v>708</v>
      </c>
      <c r="I174" s="50"/>
      <c r="J174" s="52"/>
    </row>
    <row r="175" spans="1:10" ht="38.25" customHeight="1" x14ac:dyDescent="0.2">
      <c r="A175" s="358"/>
      <c r="B175" s="266" t="s">
        <v>716</v>
      </c>
      <c r="C175" s="367">
        <v>8619279</v>
      </c>
      <c r="D175" s="363" t="s">
        <v>68</v>
      </c>
      <c r="E175" s="338">
        <v>311</v>
      </c>
      <c r="F175" s="365" t="s">
        <v>161</v>
      </c>
      <c r="G175" s="359">
        <v>1200000</v>
      </c>
      <c r="H175" s="259" t="s">
        <v>714</v>
      </c>
      <c r="I175" s="50"/>
      <c r="J175" s="52"/>
    </row>
    <row r="176" spans="1:10" ht="15" customHeight="1" x14ac:dyDescent="0.2">
      <c r="A176" s="358"/>
      <c r="B176" s="266" t="s">
        <v>717</v>
      </c>
      <c r="C176" s="367">
        <v>698734</v>
      </c>
      <c r="D176" s="363" t="s">
        <v>68</v>
      </c>
      <c r="E176" s="358">
        <v>311</v>
      </c>
      <c r="F176" s="360" t="s">
        <v>161</v>
      </c>
      <c r="G176" s="356">
        <v>4000000</v>
      </c>
      <c r="H176" s="259" t="s">
        <v>79</v>
      </c>
      <c r="I176" s="50"/>
      <c r="J176" s="52"/>
    </row>
    <row r="177" spans="1:10" ht="15" customHeight="1" x14ac:dyDescent="0.2">
      <c r="A177" s="358"/>
      <c r="B177" s="252"/>
      <c r="C177" s="252"/>
      <c r="D177" s="252"/>
      <c r="E177" s="358"/>
      <c r="F177" s="360"/>
      <c r="G177" s="356"/>
      <c r="H177" s="259"/>
      <c r="I177" s="50"/>
      <c r="J177" s="52"/>
    </row>
    <row r="178" spans="1:10" ht="24.75" customHeight="1" x14ac:dyDescent="0.2">
      <c r="A178" s="358"/>
      <c r="B178" s="345" t="s">
        <v>683</v>
      </c>
      <c r="C178" s="364">
        <f>SUM(C179:C181)</f>
        <v>34249000</v>
      </c>
      <c r="D178" s="357"/>
      <c r="E178" s="338">
        <v>362</v>
      </c>
      <c r="F178" s="365" t="s">
        <v>86</v>
      </c>
      <c r="G178" s="359">
        <v>757808</v>
      </c>
      <c r="H178" s="259" t="s">
        <v>328</v>
      </c>
      <c r="I178" s="50"/>
      <c r="J178" s="52"/>
    </row>
    <row r="179" spans="1:10" ht="15" customHeight="1" x14ac:dyDescent="0.2">
      <c r="A179" s="466">
        <v>422</v>
      </c>
      <c r="B179" s="266" t="s">
        <v>718</v>
      </c>
      <c r="C179" s="367">
        <v>1000000</v>
      </c>
      <c r="D179" s="278" t="s">
        <v>112</v>
      </c>
      <c r="E179" s="358">
        <v>362</v>
      </c>
      <c r="F179" s="360" t="s">
        <v>86</v>
      </c>
      <c r="G179" s="356">
        <v>277000</v>
      </c>
      <c r="H179" s="259" t="s">
        <v>708</v>
      </c>
      <c r="I179" s="50"/>
      <c r="J179" s="52"/>
    </row>
    <row r="180" spans="1:10" ht="36" customHeight="1" x14ac:dyDescent="0.2">
      <c r="A180" s="466">
        <v>436</v>
      </c>
      <c r="B180" s="266" t="s">
        <v>646</v>
      </c>
      <c r="C180" s="367">
        <v>31249000</v>
      </c>
      <c r="D180" s="363" t="s">
        <v>68</v>
      </c>
      <c r="E180" s="338">
        <v>362</v>
      </c>
      <c r="F180" s="365" t="s">
        <v>86</v>
      </c>
      <c r="G180" s="359">
        <v>1200000</v>
      </c>
      <c r="H180" s="259" t="s">
        <v>714</v>
      </c>
      <c r="I180" s="50"/>
      <c r="J180" s="52"/>
    </row>
    <row r="181" spans="1:10" ht="26.25" customHeight="1" x14ac:dyDescent="0.2">
      <c r="A181" s="467">
        <v>436</v>
      </c>
      <c r="B181" s="266" t="s">
        <v>646</v>
      </c>
      <c r="C181" s="366">
        <v>2000000</v>
      </c>
      <c r="D181" s="278" t="s">
        <v>112</v>
      </c>
      <c r="E181" s="358">
        <v>364</v>
      </c>
      <c r="F181" s="360" t="s">
        <v>296</v>
      </c>
      <c r="G181" s="356">
        <v>15937216</v>
      </c>
      <c r="H181" s="259" t="s">
        <v>719</v>
      </c>
      <c r="I181" s="50"/>
      <c r="J181" s="52"/>
    </row>
    <row r="182" spans="1:10" ht="15" customHeight="1" x14ac:dyDescent="0.2">
      <c r="A182" s="358"/>
      <c r="B182" s="368"/>
      <c r="C182" s="362"/>
      <c r="D182" s="357"/>
      <c r="E182" s="358">
        <v>391</v>
      </c>
      <c r="F182" s="360" t="s">
        <v>134</v>
      </c>
      <c r="G182" s="356">
        <v>286000</v>
      </c>
      <c r="H182" s="259" t="s">
        <v>708</v>
      </c>
      <c r="I182" s="50"/>
      <c r="J182" s="52"/>
    </row>
    <row r="183" spans="1:10" ht="15" customHeight="1" x14ac:dyDescent="0.2">
      <c r="A183" s="358"/>
      <c r="B183" s="368"/>
      <c r="C183" s="362"/>
      <c r="D183" s="343"/>
      <c r="E183" s="358"/>
      <c r="F183" s="360"/>
      <c r="G183" s="356"/>
      <c r="H183" s="259"/>
      <c r="I183" s="50"/>
      <c r="J183" s="52"/>
    </row>
    <row r="184" spans="1:10" ht="15" customHeight="1" x14ac:dyDescent="0.25">
      <c r="A184" s="358"/>
      <c r="B184" s="368"/>
      <c r="C184" s="362"/>
      <c r="D184" s="343"/>
      <c r="E184" s="358"/>
      <c r="F184" s="295" t="s">
        <v>710</v>
      </c>
      <c r="G184" s="369">
        <f>G185</f>
        <v>20939425</v>
      </c>
      <c r="H184" s="259"/>
      <c r="I184" s="50"/>
      <c r="J184" s="52"/>
    </row>
    <row r="185" spans="1:10" ht="15" customHeight="1" x14ac:dyDescent="0.2">
      <c r="A185" s="252"/>
      <c r="B185" s="252"/>
      <c r="C185" s="252"/>
      <c r="D185" s="252"/>
      <c r="E185" s="358"/>
      <c r="F185" s="250" t="s">
        <v>632</v>
      </c>
      <c r="G185" s="355">
        <f>SUM(G186:G192)</f>
        <v>20939425</v>
      </c>
      <c r="H185" s="259"/>
      <c r="I185" s="50"/>
      <c r="J185" s="52"/>
    </row>
    <row r="186" spans="1:10" ht="15" customHeight="1" x14ac:dyDescent="0.2">
      <c r="A186" s="252"/>
      <c r="B186" s="252"/>
      <c r="C186" s="252"/>
      <c r="D186" s="252"/>
      <c r="E186" s="358">
        <v>432</v>
      </c>
      <c r="F186" s="360" t="s">
        <v>89</v>
      </c>
      <c r="G186" s="356">
        <v>1410000</v>
      </c>
      <c r="H186" s="259" t="s">
        <v>79</v>
      </c>
      <c r="I186" s="50"/>
      <c r="J186" s="52"/>
    </row>
    <row r="187" spans="1:10" ht="25.5" customHeight="1" x14ac:dyDescent="0.2">
      <c r="A187" s="252"/>
      <c r="B187" s="252"/>
      <c r="C187" s="252"/>
      <c r="D187" s="252"/>
      <c r="E187" s="338">
        <v>435</v>
      </c>
      <c r="F187" s="365" t="s">
        <v>308</v>
      </c>
      <c r="G187" s="359">
        <f>3223899+2150000</f>
        <v>5373899</v>
      </c>
      <c r="H187" s="259" t="s">
        <v>720</v>
      </c>
      <c r="I187" s="50"/>
      <c r="J187" s="52"/>
    </row>
    <row r="188" spans="1:10" ht="15" customHeight="1" x14ac:dyDescent="0.2">
      <c r="A188" s="358"/>
      <c r="B188" s="368"/>
      <c r="C188" s="362"/>
      <c r="D188" s="343"/>
      <c r="E188" s="358">
        <v>435</v>
      </c>
      <c r="F188" s="360" t="s">
        <v>308</v>
      </c>
      <c r="G188" s="356">
        <v>2000000</v>
      </c>
      <c r="H188" s="259" t="s">
        <v>79</v>
      </c>
      <c r="I188" s="50"/>
      <c r="J188" s="52"/>
    </row>
    <row r="189" spans="1:10" ht="26.25" customHeight="1" x14ac:dyDescent="0.2">
      <c r="A189" s="358"/>
      <c r="B189" s="368"/>
      <c r="C189" s="362"/>
      <c r="D189" s="343"/>
      <c r="E189" s="338">
        <v>435</v>
      </c>
      <c r="F189" s="365" t="s">
        <v>308</v>
      </c>
      <c r="G189" s="359">
        <v>5178420</v>
      </c>
      <c r="H189" s="259" t="s">
        <v>711</v>
      </c>
      <c r="I189" s="50"/>
      <c r="J189" s="52"/>
    </row>
    <row r="190" spans="1:10" ht="27" customHeight="1" x14ac:dyDescent="0.2">
      <c r="A190" s="358"/>
      <c r="B190" s="368"/>
      <c r="C190" s="362"/>
      <c r="D190" s="343"/>
      <c r="E190" s="338">
        <v>435</v>
      </c>
      <c r="F190" s="365" t="s">
        <v>308</v>
      </c>
      <c r="G190" s="359">
        <v>463526</v>
      </c>
      <c r="H190" s="259" t="s">
        <v>328</v>
      </c>
      <c r="I190" s="50"/>
      <c r="J190" s="52"/>
    </row>
    <row r="191" spans="1:10" ht="29.25" customHeight="1" x14ac:dyDescent="0.2">
      <c r="A191" s="358"/>
      <c r="B191" s="368"/>
      <c r="C191" s="362"/>
      <c r="D191" s="343"/>
      <c r="E191" s="358">
        <v>436</v>
      </c>
      <c r="F191" s="266" t="s">
        <v>721</v>
      </c>
      <c r="G191" s="356">
        <v>5000000</v>
      </c>
      <c r="H191" s="259" t="s">
        <v>79</v>
      </c>
      <c r="I191" s="50"/>
      <c r="J191" s="52"/>
    </row>
    <row r="192" spans="1:10" ht="24" customHeight="1" x14ac:dyDescent="0.2">
      <c r="A192" s="358"/>
      <c r="B192" s="360"/>
      <c r="C192" s="362"/>
      <c r="D192" s="343"/>
      <c r="E192" s="338">
        <v>437</v>
      </c>
      <c r="F192" s="365" t="s">
        <v>648</v>
      </c>
      <c r="G192" s="359">
        <v>1513580</v>
      </c>
      <c r="H192" s="259" t="s">
        <v>328</v>
      </c>
      <c r="I192" s="50"/>
      <c r="J192" s="52"/>
    </row>
    <row r="193" spans="1:10" ht="11.25" customHeight="1" x14ac:dyDescent="0.2">
      <c r="A193" s="254"/>
      <c r="B193" s="275"/>
      <c r="C193" s="275"/>
      <c r="D193" s="258"/>
      <c r="E193" s="259"/>
      <c r="F193" s="283"/>
      <c r="G193" s="270"/>
      <c r="H193" s="259"/>
      <c r="I193" s="50"/>
      <c r="J193" s="52"/>
    </row>
    <row r="194" spans="1:10" ht="33" customHeight="1" x14ac:dyDescent="0.25">
      <c r="A194" s="252"/>
      <c r="B194" s="426" t="s">
        <v>722</v>
      </c>
      <c r="C194" s="371">
        <f>+C196</f>
        <v>1544000</v>
      </c>
      <c r="D194" s="372"/>
      <c r="E194" s="372"/>
      <c r="F194" s="426" t="s">
        <v>722</v>
      </c>
      <c r="G194" s="373">
        <f>+G196+G199</f>
        <v>1544000</v>
      </c>
      <c r="H194" s="259"/>
    </row>
    <row r="195" spans="1:10" ht="15.75" x14ac:dyDescent="0.25">
      <c r="A195" s="374"/>
      <c r="B195" s="374"/>
      <c r="C195" s="375"/>
      <c r="D195" s="372"/>
      <c r="E195" s="372"/>
      <c r="F195" s="374"/>
      <c r="G195" s="374"/>
      <c r="H195" s="259"/>
      <c r="I195" s="52"/>
    </row>
    <row r="196" spans="1:10" ht="12.75" x14ac:dyDescent="0.2">
      <c r="A196" s="468"/>
      <c r="B196" s="295" t="s">
        <v>66</v>
      </c>
      <c r="C196" s="376">
        <f>SUM(C198:C201)</f>
        <v>1544000</v>
      </c>
      <c r="D196" s="377"/>
      <c r="E196" s="377"/>
      <c r="F196" s="295" t="s">
        <v>66</v>
      </c>
      <c r="G196" s="376">
        <f>+G197</f>
        <v>520000</v>
      </c>
      <c r="H196" s="259"/>
      <c r="I196" s="52"/>
    </row>
    <row r="197" spans="1:10" ht="12.75" x14ac:dyDescent="0.2">
      <c r="A197" s="468"/>
      <c r="B197" s="378"/>
      <c r="C197" s="379"/>
      <c r="D197" s="377" t="s">
        <v>723</v>
      </c>
      <c r="E197" s="358">
        <v>581</v>
      </c>
      <c r="F197" s="351" t="s">
        <v>140</v>
      </c>
      <c r="G197" s="380">
        <v>520000</v>
      </c>
      <c r="H197" s="259" t="s">
        <v>68</v>
      </c>
      <c r="I197" s="52"/>
    </row>
    <row r="198" spans="1:10" ht="12.75" x14ac:dyDescent="0.2">
      <c r="A198" s="358">
        <v>111</v>
      </c>
      <c r="B198" s="266" t="s">
        <v>90</v>
      </c>
      <c r="C198" s="381">
        <v>500000</v>
      </c>
      <c r="D198" s="343" t="s">
        <v>68</v>
      </c>
      <c r="E198" s="377"/>
      <c r="F198" s="378"/>
      <c r="G198" s="373"/>
      <c r="H198" s="259"/>
      <c r="I198" s="52"/>
    </row>
    <row r="199" spans="1:10" ht="15" customHeight="1" x14ac:dyDescent="0.2">
      <c r="A199" s="358">
        <v>231</v>
      </c>
      <c r="B199" s="266" t="s">
        <v>724</v>
      </c>
      <c r="C199" s="381">
        <v>220000</v>
      </c>
      <c r="D199" s="343" t="s">
        <v>68</v>
      </c>
      <c r="E199" s="377"/>
      <c r="F199" s="295" t="s">
        <v>710</v>
      </c>
      <c r="G199" s="373">
        <f>+G200</f>
        <v>1024000</v>
      </c>
      <c r="H199" s="259"/>
      <c r="I199" s="52"/>
    </row>
    <row r="200" spans="1:10" ht="15" customHeight="1" x14ac:dyDescent="0.2">
      <c r="A200" s="358">
        <v>261</v>
      </c>
      <c r="B200" s="266" t="s">
        <v>124</v>
      </c>
      <c r="C200" s="381">
        <v>258837</v>
      </c>
      <c r="D200" s="343" t="s">
        <v>68</v>
      </c>
      <c r="E200" s="377"/>
      <c r="F200" s="250" t="s">
        <v>632</v>
      </c>
      <c r="G200" s="373">
        <f>+G201</f>
        <v>1024000</v>
      </c>
      <c r="H200" s="259"/>
      <c r="I200" s="52"/>
    </row>
    <row r="201" spans="1:10" ht="32.25" customHeight="1" x14ac:dyDescent="0.2">
      <c r="A201" s="358">
        <v>399</v>
      </c>
      <c r="B201" s="266" t="s">
        <v>71</v>
      </c>
      <c r="C201" s="381">
        <v>565163</v>
      </c>
      <c r="D201" s="343" t="s">
        <v>68</v>
      </c>
      <c r="E201" s="338">
        <v>629</v>
      </c>
      <c r="F201" s="278" t="s">
        <v>725</v>
      </c>
      <c r="G201" s="382">
        <v>1024000</v>
      </c>
      <c r="H201" s="259" t="s">
        <v>79</v>
      </c>
      <c r="I201" s="52"/>
    </row>
    <row r="202" spans="1:10" ht="15" customHeight="1" x14ac:dyDescent="0.2">
      <c r="A202" s="358"/>
      <c r="B202" s="351"/>
      <c r="C202" s="381"/>
      <c r="D202" s="343"/>
      <c r="E202" s="377"/>
      <c r="F202" s="345"/>
      <c r="G202" s="373"/>
      <c r="H202" s="259"/>
      <c r="I202" s="52"/>
    </row>
    <row r="203" spans="1:10" ht="30" x14ac:dyDescent="0.25">
      <c r="A203" s="252"/>
      <c r="B203" s="579" t="s">
        <v>726</v>
      </c>
      <c r="C203" s="272">
        <f>+C204+C232</f>
        <v>80481484</v>
      </c>
      <c r="D203" s="383"/>
      <c r="E203" s="252"/>
      <c r="F203" s="579" t="s">
        <v>726</v>
      </c>
      <c r="G203" s="272">
        <f>+G204+G215</f>
        <v>80481484</v>
      </c>
      <c r="H203" s="259"/>
      <c r="I203" s="52"/>
    </row>
    <row r="204" spans="1:10" ht="15" customHeight="1" x14ac:dyDescent="0.2">
      <c r="A204" s="385"/>
      <c r="B204" s="250" t="s">
        <v>66</v>
      </c>
      <c r="C204" s="253">
        <f>SUM(C205:C230)</f>
        <v>69500994</v>
      </c>
      <c r="D204" s="384"/>
      <c r="E204" s="385"/>
      <c r="F204" s="250" t="s">
        <v>66</v>
      </c>
      <c r="G204" s="253">
        <f>SUM(G205:G214)</f>
        <v>55414771</v>
      </c>
      <c r="H204" s="259"/>
      <c r="I204" s="52"/>
    </row>
    <row r="205" spans="1:10" ht="12.75" x14ac:dyDescent="0.2">
      <c r="A205" s="254">
        <v>191</v>
      </c>
      <c r="B205" s="266" t="s">
        <v>103</v>
      </c>
      <c r="C205" s="255">
        <f>20702064+22467552+1360518</f>
        <v>44530134</v>
      </c>
      <c r="D205" s="343" t="s">
        <v>68</v>
      </c>
      <c r="E205" s="254">
        <v>131</v>
      </c>
      <c r="F205" s="252" t="s">
        <v>135</v>
      </c>
      <c r="G205" s="274">
        <f>540757+3452579</f>
        <v>3993336</v>
      </c>
      <c r="H205" s="259" t="s">
        <v>79</v>
      </c>
      <c r="I205" s="52"/>
    </row>
    <row r="206" spans="1:10" ht="25.5" x14ac:dyDescent="0.2">
      <c r="A206" s="254">
        <v>215</v>
      </c>
      <c r="B206" s="266" t="s">
        <v>92</v>
      </c>
      <c r="C206" s="386">
        <v>28050</v>
      </c>
      <c r="D206" s="298" t="s">
        <v>68</v>
      </c>
      <c r="E206" s="262">
        <v>231</v>
      </c>
      <c r="F206" s="263" t="s">
        <v>123</v>
      </c>
      <c r="G206" s="311">
        <v>1000000</v>
      </c>
      <c r="H206" s="259" t="s">
        <v>112</v>
      </c>
      <c r="I206" s="52"/>
    </row>
    <row r="207" spans="1:10" ht="38.25" x14ac:dyDescent="0.2">
      <c r="A207" s="262">
        <v>221</v>
      </c>
      <c r="B207" s="266" t="s">
        <v>93</v>
      </c>
      <c r="C207" s="387">
        <v>57500</v>
      </c>
      <c r="D207" s="258" t="s">
        <v>727</v>
      </c>
      <c r="E207" s="254">
        <v>273</v>
      </c>
      <c r="F207" s="278" t="s">
        <v>114</v>
      </c>
      <c r="G207" s="274">
        <v>1360518</v>
      </c>
      <c r="H207" s="259" t="s">
        <v>68</v>
      </c>
      <c r="I207" s="52"/>
    </row>
    <row r="208" spans="1:10" ht="51" x14ac:dyDescent="0.2">
      <c r="A208" s="262">
        <v>221</v>
      </c>
      <c r="B208" s="266" t="s">
        <v>93</v>
      </c>
      <c r="C208" s="387">
        <v>80000</v>
      </c>
      <c r="D208" s="258" t="s">
        <v>728</v>
      </c>
      <c r="E208" s="254">
        <v>512</v>
      </c>
      <c r="F208" s="278" t="s">
        <v>729</v>
      </c>
      <c r="G208" s="274">
        <v>17165064</v>
      </c>
      <c r="H208" s="259" t="s">
        <v>68</v>
      </c>
      <c r="I208" s="52"/>
    </row>
    <row r="209" spans="1:9" ht="24.75" customHeight="1" x14ac:dyDescent="0.2">
      <c r="A209" s="254">
        <v>231</v>
      </c>
      <c r="B209" s="266" t="s">
        <v>123</v>
      </c>
      <c r="C209" s="386">
        <v>700000</v>
      </c>
      <c r="D209" s="298" t="s">
        <v>68</v>
      </c>
      <c r="E209" s="254">
        <v>513</v>
      </c>
      <c r="F209" s="278" t="s">
        <v>681</v>
      </c>
      <c r="G209" s="274">
        <f>3593335+1689819</f>
        <v>5283154</v>
      </c>
      <c r="H209" s="259" t="s">
        <v>318</v>
      </c>
      <c r="I209" s="52"/>
    </row>
    <row r="210" spans="1:9" ht="25.5" x14ac:dyDescent="0.2">
      <c r="A210" s="254">
        <v>232</v>
      </c>
      <c r="B210" s="266" t="s">
        <v>132</v>
      </c>
      <c r="C210" s="386">
        <v>200000</v>
      </c>
      <c r="D210" s="298" t="s">
        <v>68</v>
      </c>
      <c r="E210" s="254">
        <v>524</v>
      </c>
      <c r="F210" s="278" t="s">
        <v>730</v>
      </c>
      <c r="G210" s="274">
        <v>3537000</v>
      </c>
      <c r="H210" s="259" t="s">
        <v>68</v>
      </c>
      <c r="I210" s="52"/>
    </row>
    <row r="211" spans="1:9" ht="15" customHeight="1" x14ac:dyDescent="0.2">
      <c r="A211" s="262">
        <v>244</v>
      </c>
      <c r="B211" s="266" t="s">
        <v>99</v>
      </c>
      <c r="C211" s="387">
        <v>4248412</v>
      </c>
      <c r="D211" s="258" t="s">
        <v>79</v>
      </c>
      <c r="E211" s="254">
        <v>249</v>
      </c>
      <c r="F211" s="278" t="s">
        <v>82</v>
      </c>
      <c r="G211" s="386">
        <v>10000000</v>
      </c>
      <c r="H211" s="259" t="s">
        <v>318</v>
      </c>
      <c r="I211" s="52"/>
    </row>
    <row r="212" spans="1:9" ht="38.25" x14ac:dyDescent="0.2">
      <c r="A212" s="262">
        <v>249</v>
      </c>
      <c r="B212" s="266" t="s">
        <v>82</v>
      </c>
      <c r="C212" s="387">
        <v>85111</v>
      </c>
      <c r="D212" s="258" t="s">
        <v>731</v>
      </c>
      <c r="E212" s="254">
        <v>273</v>
      </c>
      <c r="F212" s="278" t="s">
        <v>114</v>
      </c>
      <c r="G212" s="386">
        <f>9248412+287</f>
        <v>9248699</v>
      </c>
      <c r="H212" s="259" t="s">
        <v>318</v>
      </c>
      <c r="I212" s="52"/>
    </row>
    <row r="213" spans="1:9" ht="38.25" x14ac:dyDescent="0.2">
      <c r="A213" s="262">
        <v>252</v>
      </c>
      <c r="B213" s="266" t="s">
        <v>83</v>
      </c>
      <c r="C213" s="387">
        <v>21461</v>
      </c>
      <c r="D213" s="258" t="s">
        <v>731</v>
      </c>
      <c r="E213" s="254">
        <v>311</v>
      </c>
      <c r="F213" s="278" t="s">
        <v>161</v>
      </c>
      <c r="G213" s="386">
        <v>827000</v>
      </c>
      <c r="H213" s="259" t="s">
        <v>318</v>
      </c>
      <c r="I213" s="52"/>
    </row>
    <row r="214" spans="1:9" ht="51" x14ac:dyDescent="0.2">
      <c r="A214" s="262">
        <v>252</v>
      </c>
      <c r="B214" s="266" t="s">
        <v>83</v>
      </c>
      <c r="C214" s="387">
        <v>227500</v>
      </c>
      <c r="D214" s="258" t="s">
        <v>728</v>
      </c>
      <c r="E214" s="262">
        <v>524</v>
      </c>
      <c r="F214" s="278" t="s">
        <v>732</v>
      </c>
      <c r="G214" s="387">
        <v>3000000</v>
      </c>
      <c r="H214" s="259" t="s">
        <v>112</v>
      </c>
      <c r="I214" s="52"/>
    </row>
    <row r="215" spans="1:9" ht="38.25" x14ac:dyDescent="0.2">
      <c r="A215" s="262">
        <v>271</v>
      </c>
      <c r="B215" s="266" t="s">
        <v>244</v>
      </c>
      <c r="C215" s="387">
        <v>71600</v>
      </c>
      <c r="D215" s="258" t="s">
        <v>731</v>
      </c>
      <c r="E215" s="254"/>
      <c r="F215" s="303" t="s">
        <v>94</v>
      </c>
      <c r="G215" s="318">
        <f>+G216+G219</f>
        <v>25066713</v>
      </c>
      <c r="H215" s="259"/>
      <c r="I215" s="52"/>
    </row>
    <row r="216" spans="1:9" ht="51" x14ac:dyDescent="0.2">
      <c r="A216" s="262">
        <v>271</v>
      </c>
      <c r="B216" s="266" t="s">
        <v>244</v>
      </c>
      <c r="C216" s="387">
        <v>40004</v>
      </c>
      <c r="D216" s="258" t="s">
        <v>728</v>
      </c>
      <c r="E216" s="254"/>
      <c r="F216" s="250" t="s">
        <v>73</v>
      </c>
      <c r="G216" s="318">
        <f>+G217+G218</f>
        <v>11066713</v>
      </c>
      <c r="H216" s="259"/>
      <c r="I216" s="52"/>
    </row>
    <row r="217" spans="1:9" ht="38.25" x14ac:dyDescent="0.2">
      <c r="A217" s="262">
        <v>273</v>
      </c>
      <c r="B217" s="266" t="s">
        <v>114</v>
      </c>
      <c r="C217" s="387">
        <v>158285</v>
      </c>
      <c r="D217" s="258" t="s">
        <v>731</v>
      </c>
      <c r="E217" s="254"/>
      <c r="F217" s="261" t="s">
        <v>733</v>
      </c>
      <c r="G217" s="386">
        <v>10885926</v>
      </c>
      <c r="H217" s="259" t="s">
        <v>79</v>
      </c>
      <c r="I217" s="52"/>
    </row>
    <row r="218" spans="1:9" ht="51" x14ac:dyDescent="0.2">
      <c r="A218" s="262">
        <v>273</v>
      </c>
      <c r="B218" s="266" t="s">
        <v>114</v>
      </c>
      <c r="C218" s="387">
        <v>238479</v>
      </c>
      <c r="D218" s="258" t="s">
        <v>728</v>
      </c>
      <c r="E218" s="254"/>
      <c r="F218" s="261" t="s">
        <v>734</v>
      </c>
      <c r="G218" s="386">
        <v>180787</v>
      </c>
      <c r="H218" s="259" t="s">
        <v>79</v>
      </c>
      <c r="I218" s="52"/>
    </row>
    <row r="219" spans="1:9" ht="15" customHeight="1" x14ac:dyDescent="0.2">
      <c r="A219" s="254">
        <v>273</v>
      </c>
      <c r="B219" s="266" t="s">
        <v>114</v>
      </c>
      <c r="C219" s="386">
        <v>15000000</v>
      </c>
      <c r="D219" s="261" t="s">
        <v>79</v>
      </c>
      <c r="E219" s="252"/>
      <c r="F219" s="250" t="s">
        <v>632</v>
      </c>
      <c r="G219" s="318">
        <f>SUM(G220:G222)</f>
        <v>14000000</v>
      </c>
      <c r="H219" s="259"/>
      <c r="I219" s="52"/>
    </row>
    <row r="220" spans="1:9" ht="26.25" customHeight="1" x14ac:dyDescent="0.2">
      <c r="A220" s="254">
        <v>311</v>
      </c>
      <c r="B220" s="266" t="s">
        <v>161</v>
      </c>
      <c r="C220" s="386">
        <v>200000</v>
      </c>
      <c r="D220" s="298" t="s">
        <v>68</v>
      </c>
      <c r="E220" s="262">
        <v>422</v>
      </c>
      <c r="F220" s="263" t="s">
        <v>718</v>
      </c>
      <c r="G220" s="389">
        <v>7079800</v>
      </c>
      <c r="H220" s="259" t="s">
        <v>112</v>
      </c>
      <c r="I220" s="52"/>
    </row>
    <row r="221" spans="1:9" ht="38.25" x14ac:dyDescent="0.2">
      <c r="A221" s="262">
        <v>311</v>
      </c>
      <c r="B221" s="266" t="s">
        <v>161</v>
      </c>
      <c r="C221" s="387">
        <v>296202</v>
      </c>
      <c r="D221" s="258" t="s">
        <v>731</v>
      </c>
      <c r="E221" s="262">
        <v>432</v>
      </c>
      <c r="F221" s="263" t="s">
        <v>89</v>
      </c>
      <c r="G221" s="389">
        <v>1000000</v>
      </c>
      <c r="H221" s="259" t="s">
        <v>112</v>
      </c>
      <c r="I221" s="52"/>
    </row>
    <row r="222" spans="1:9" ht="51" x14ac:dyDescent="0.2">
      <c r="A222" s="262">
        <v>311</v>
      </c>
      <c r="B222" s="266" t="s">
        <v>161</v>
      </c>
      <c r="C222" s="387">
        <v>669996</v>
      </c>
      <c r="D222" s="258" t="s">
        <v>728</v>
      </c>
      <c r="E222" s="262">
        <v>436</v>
      </c>
      <c r="F222" s="261" t="s">
        <v>646</v>
      </c>
      <c r="G222" s="389">
        <v>5920200</v>
      </c>
      <c r="H222" s="259" t="s">
        <v>112</v>
      </c>
      <c r="I222" s="52"/>
    </row>
    <row r="223" spans="1:9" ht="15" customHeight="1" x14ac:dyDescent="0.2">
      <c r="A223" s="254">
        <v>333</v>
      </c>
      <c r="B223" s="266" t="s">
        <v>146</v>
      </c>
      <c r="C223" s="386">
        <v>300000</v>
      </c>
      <c r="D223" s="298" t="s">
        <v>68</v>
      </c>
      <c r="E223" s="252"/>
      <c r="F223" s="252"/>
      <c r="G223" s="390"/>
      <c r="H223" s="259"/>
      <c r="I223" s="52"/>
    </row>
    <row r="224" spans="1:9" ht="51" x14ac:dyDescent="0.2">
      <c r="A224" s="262">
        <v>341</v>
      </c>
      <c r="B224" s="266" t="s">
        <v>147</v>
      </c>
      <c r="C224" s="387">
        <v>24668</v>
      </c>
      <c r="D224" s="258" t="s">
        <v>728</v>
      </c>
      <c r="E224" s="252"/>
      <c r="F224" s="252"/>
      <c r="G224" s="390"/>
      <c r="H224" s="259"/>
      <c r="I224" s="52"/>
    </row>
    <row r="225" spans="1:9" ht="51" x14ac:dyDescent="0.2">
      <c r="A225" s="262">
        <v>342</v>
      </c>
      <c r="B225" s="266" t="s">
        <v>227</v>
      </c>
      <c r="C225" s="387">
        <v>1315</v>
      </c>
      <c r="D225" s="258" t="s">
        <v>728</v>
      </c>
      <c r="E225" s="252"/>
      <c r="F225" s="252"/>
      <c r="G225" s="252"/>
      <c r="H225" s="259"/>
      <c r="I225" s="52"/>
    </row>
    <row r="226" spans="1:9" ht="15" customHeight="1" x14ac:dyDescent="0.2">
      <c r="A226" s="254">
        <v>362</v>
      </c>
      <c r="B226" s="266" t="s">
        <v>86</v>
      </c>
      <c r="C226" s="386">
        <f>317251+147</f>
        <v>317398</v>
      </c>
      <c r="D226" s="298" t="s">
        <v>68</v>
      </c>
      <c r="E226" s="252"/>
      <c r="F226" s="252"/>
      <c r="G226" s="252"/>
      <c r="H226" s="259"/>
      <c r="I226" s="52"/>
    </row>
    <row r="227" spans="1:9" ht="15" customHeight="1" x14ac:dyDescent="0.2">
      <c r="A227" s="254">
        <v>365</v>
      </c>
      <c r="B227" s="266" t="s">
        <v>735</v>
      </c>
      <c r="C227" s="386">
        <v>827000</v>
      </c>
      <c r="D227" s="261" t="s">
        <v>79</v>
      </c>
      <c r="E227" s="252"/>
      <c r="F227" s="252"/>
      <c r="G227" s="252"/>
      <c r="H227" s="259"/>
      <c r="I227" s="52"/>
    </row>
    <row r="228" spans="1:9" ht="38.25" x14ac:dyDescent="0.2">
      <c r="A228" s="262">
        <v>391</v>
      </c>
      <c r="B228" s="266" t="s">
        <v>665</v>
      </c>
      <c r="C228" s="387">
        <v>84841</v>
      </c>
      <c r="D228" s="261" t="s">
        <v>731</v>
      </c>
      <c r="E228" s="252"/>
      <c r="F228" s="252"/>
      <c r="G228" s="252"/>
      <c r="H228" s="259"/>
      <c r="I228" s="52"/>
    </row>
    <row r="229" spans="1:9" ht="51" x14ac:dyDescent="0.2">
      <c r="A229" s="262">
        <v>391</v>
      </c>
      <c r="B229" s="266" t="s">
        <v>665</v>
      </c>
      <c r="C229" s="387">
        <v>93038</v>
      </c>
      <c r="D229" s="261" t="s">
        <v>728</v>
      </c>
      <c r="E229" s="252"/>
      <c r="F229" s="252"/>
      <c r="G229" s="252"/>
      <c r="H229" s="259"/>
      <c r="I229" s="52"/>
    </row>
    <row r="230" spans="1:9" ht="15" customHeight="1" x14ac:dyDescent="0.2">
      <c r="A230" s="254">
        <v>524</v>
      </c>
      <c r="B230" s="266" t="s">
        <v>730</v>
      </c>
      <c r="C230" s="386">
        <v>1000000</v>
      </c>
      <c r="D230" s="298" t="s">
        <v>68</v>
      </c>
      <c r="E230" s="252"/>
      <c r="F230" s="252"/>
      <c r="G230" s="252"/>
      <c r="H230" s="259"/>
      <c r="I230" s="52"/>
    </row>
    <row r="231" spans="1:9" ht="15" customHeight="1" x14ac:dyDescent="0.2">
      <c r="A231" s="254"/>
      <c r="B231" s="250"/>
      <c r="C231" s="253"/>
      <c r="D231" s="259"/>
      <c r="E231" s="252"/>
      <c r="F231" s="252"/>
      <c r="G231" s="252"/>
      <c r="H231" s="259"/>
      <c r="I231" s="52"/>
    </row>
    <row r="232" spans="1:9" ht="15" customHeight="1" x14ac:dyDescent="0.2">
      <c r="A232" s="252"/>
      <c r="B232" s="303" t="s">
        <v>94</v>
      </c>
      <c r="C232" s="253">
        <f>+C233</f>
        <v>10980490</v>
      </c>
      <c r="D232" s="259"/>
      <c r="E232" s="252"/>
      <c r="F232" s="252"/>
      <c r="G232" s="252"/>
      <c r="H232" s="259"/>
      <c r="I232" s="52"/>
    </row>
    <row r="233" spans="1:9" ht="15" customHeight="1" x14ac:dyDescent="0.2">
      <c r="A233" s="252"/>
      <c r="B233" s="250" t="s">
        <v>683</v>
      </c>
      <c r="C233" s="253">
        <f>SUM(C234:C238)</f>
        <v>10980490</v>
      </c>
      <c r="D233" s="259"/>
      <c r="E233" s="252"/>
      <c r="F233" s="252"/>
      <c r="G233" s="252"/>
      <c r="H233" s="259"/>
      <c r="I233" s="52"/>
    </row>
    <row r="234" spans="1:9" ht="15" customHeight="1" x14ac:dyDescent="0.2">
      <c r="A234" s="254">
        <v>422</v>
      </c>
      <c r="B234" s="266" t="s">
        <v>736</v>
      </c>
      <c r="C234" s="274">
        <f>540757+3452579+1689819</f>
        <v>5683155</v>
      </c>
      <c r="D234" s="259" t="s">
        <v>79</v>
      </c>
      <c r="E234" s="252"/>
      <c r="F234" s="252"/>
      <c r="G234" s="252"/>
      <c r="H234" s="259"/>
      <c r="I234" s="52"/>
    </row>
    <row r="235" spans="1:9" ht="38.25" x14ac:dyDescent="0.2">
      <c r="A235" s="262">
        <v>432</v>
      </c>
      <c r="B235" s="266" t="s">
        <v>89</v>
      </c>
      <c r="C235" s="387">
        <v>22848</v>
      </c>
      <c r="D235" s="261" t="s">
        <v>731</v>
      </c>
      <c r="E235" s="252"/>
      <c r="F235" s="252"/>
      <c r="G235" s="252"/>
      <c r="H235" s="259"/>
      <c r="I235" s="52"/>
    </row>
    <row r="236" spans="1:9" ht="25.5" x14ac:dyDescent="0.2">
      <c r="A236" s="254">
        <v>437</v>
      </c>
      <c r="B236" s="266" t="s">
        <v>100</v>
      </c>
      <c r="C236" s="274">
        <v>3593335</v>
      </c>
      <c r="D236" s="259" t="s">
        <v>318</v>
      </c>
      <c r="E236" s="252"/>
      <c r="F236" s="252"/>
      <c r="G236" s="252"/>
      <c r="H236" s="259"/>
      <c r="I236" s="52"/>
    </row>
    <row r="237" spans="1:9" ht="28.5" customHeight="1" x14ac:dyDescent="0.2">
      <c r="A237" s="254">
        <v>436</v>
      </c>
      <c r="B237" s="266" t="s">
        <v>646</v>
      </c>
      <c r="C237" s="386">
        <v>1609000</v>
      </c>
      <c r="D237" s="298" t="s">
        <v>68</v>
      </c>
      <c r="E237" s="252"/>
      <c r="F237" s="252"/>
      <c r="G237" s="252"/>
      <c r="H237" s="259"/>
      <c r="I237" s="52"/>
    </row>
    <row r="238" spans="1:9" ht="38.25" x14ac:dyDescent="0.2">
      <c r="A238" s="262">
        <v>437</v>
      </c>
      <c r="B238" s="266" t="s">
        <v>100</v>
      </c>
      <c r="C238" s="387">
        <v>72152</v>
      </c>
      <c r="D238" s="261" t="s">
        <v>731</v>
      </c>
      <c r="E238" s="252"/>
      <c r="F238" s="252"/>
      <c r="G238" s="252"/>
      <c r="H238" s="259"/>
      <c r="I238" s="52"/>
    </row>
    <row r="239" spans="1:9" ht="9" customHeight="1" x14ac:dyDescent="0.2">
      <c r="A239" s="252"/>
      <c r="B239" s="252"/>
      <c r="C239" s="391"/>
      <c r="D239" s="252"/>
      <c r="E239" s="252"/>
      <c r="F239" s="252"/>
      <c r="G239" s="252"/>
      <c r="H239" s="259"/>
      <c r="I239" s="52"/>
    </row>
    <row r="240" spans="1:9" ht="38.25" x14ac:dyDescent="0.2">
      <c r="A240" s="252"/>
      <c r="B240" s="392" t="s">
        <v>737</v>
      </c>
      <c r="C240" s="393">
        <f>+C242+C251</f>
        <v>62335159</v>
      </c>
      <c r="D240" s="394"/>
      <c r="E240" s="252"/>
      <c r="F240" s="392" t="s">
        <v>737</v>
      </c>
      <c r="G240" s="395">
        <f>+G242+G260</f>
        <v>62335159</v>
      </c>
      <c r="H240" s="259"/>
      <c r="I240" s="57"/>
    </row>
    <row r="241" spans="1:10" ht="12.75" x14ac:dyDescent="0.2">
      <c r="A241" s="252"/>
      <c r="B241" s="396"/>
      <c r="C241" s="395"/>
      <c r="D241" s="394"/>
      <c r="E241" s="252"/>
      <c r="F241" s="396"/>
      <c r="G241" s="397"/>
      <c r="H241" s="259"/>
      <c r="I241" s="57"/>
    </row>
    <row r="242" spans="1:10" ht="12.75" x14ac:dyDescent="0.2">
      <c r="A242" s="252"/>
      <c r="B242" s="313" t="s">
        <v>66</v>
      </c>
      <c r="C242" s="397">
        <f>SUM(C244:C249)</f>
        <v>45808135</v>
      </c>
      <c r="D242" s="254"/>
      <c r="E242" s="252"/>
      <c r="F242" s="313" t="s">
        <v>66</v>
      </c>
      <c r="G242" s="397">
        <f>SUM(G243:G258)</f>
        <v>32623584</v>
      </c>
      <c r="H242" s="259"/>
      <c r="I242" s="53"/>
    </row>
    <row r="243" spans="1:10" ht="15" customHeight="1" x14ac:dyDescent="0.25">
      <c r="A243" s="252"/>
      <c r="B243" s="252"/>
      <c r="C243" s="390"/>
      <c r="D243" s="254"/>
      <c r="E243" s="254">
        <v>131</v>
      </c>
      <c r="F243" s="252" t="s">
        <v>135</v>
      </c>
      <c r="G243" s="287">
        <v>8023133</v>
      </c>
      <c r="H243" s="259" t="s">
        <v>738</v>
      </c>
      <c r="I243" s="56"/>
    </row>
    <row r="244" spans="1:10" ht="12.75" x14ac:dyDescent="0.2">
      <c r="A244" s="254">
        <v>111</v>
      </c>
      <c r="B244" s="266" t="s">
        <v>157</v>
      </c>
      <c r="C244" s="390">
        <v>5000000</v>
      </c>
      <c r="D244" s="298" t="s">
        <v>68</v>
      </c>
      <c r="E244" s="254">
        <v>132</v>
      </c>
      <c r="F244" s="252" t="s">
        <v>739</v>
      </c>
      <c r="G244" s="390">
        <f>262324+419885</f>
        <v>682209</v>
      </c>
      <c r="H244" s="259" t="s">
        <v>740</v>
      </c>
      <c r="I244" s="56"/>
    </row>
    <row r="245" spans="1:10" ht="38.25" x14ac:dyDescent="0.2">
      <c r="A245" s="262">
        <v>136</v>
      </c>
      <c r="B245" s="266" t="s">
        <v>274</v>
      </c>
      <c r="C245" s="389">
        <f>887873-311</f>
        <v>887562</v>
      </c>
      <c r="D245" s="398" t="s">
        <v>402</v>
      </c>
      <c r="E245" s="254">
        <v>132</v>
      </c>
      <c r="F245" s="252" t="s">
        <v>739</v>
      </c>
      <c r="G245" s="390">
        <v>298120</v>
      </c>
      <c r="H245" s="259" t="s">
        <v>668</v>
      </c>
      <c r="I245" s="56"/>
    </row>
    <row r="246" spans="1:10" ht="38.25" x14ac:dyDescent="0.25">
      <c r="A246" s="262">
        <v>137</v>
      </c>
      <c r="B246" s="266" t="s">
        <v>275</v>
      </c>
      <c r="C246" s="389">
        <v>1934127</v>
      </c>
      <c r="D246" s="399" t="s">
        <v>402</v>
      </c>
      <c r="E246" s="254">
        <v>216</v>
      </c>
      <c r="F246" s="252" t="s">
        <v>131</v>
      </c>
      <c r="G246" s="287">
        <v>2000000</v>
      </c>
      <c r="H246" s="259" t="s">
        <v>68</v>
      </c>
      <c r="I246" s="56"/>
    </row>
    <row r="247" spans="1:10" ht="39" x14ac:dyDescent="0.25">
      <c r="A247" s="262">
        <v>151</v>
      </c>
      <c r="B247" s="266" t="s">
        <v>205</v>
      </c>
      <c r="C247" s="389">
        <f>298120+99083</f>
        <v>397203</v>
      </c>
      <c r="D247" s="398" t="s">
        <v>402</v>
      </c>
      <c r="E247" s="254">
        <v>232</v>
      </c>
      <c r="F247" s="261" t="s">
        <v>741</v>
      </c>
      <c r="G247" s="287">
        <v>920000</v>
      </c>
      <c r="H247" s="259" t="s">
        <v>68</v>
      </c>
      <c r="I247" s="56"/>
    </row>
    <row r="248" spans="1:10" ht="39" x14ac:dyDescent="0.25">
      <c r="A248" s="262">
        <v>362</v>
      </c>
      <c r="B248" s="266" t="s">
        <v>86</v>
      </c>
      <c r="C248" s="389">
        <v>29600970</v>
      </c>
      <c r="D248" s="398" t="s">
        <v>402</v>
      </c>
      <c r="E248" s="254">
        <v>232</v>
      </c>
      <c r="F248" s="261" t="s">
        <v>741</v>
      </c>
      <c r="G248" s="287">
        <v>4251946</v>
      </c>
      <c r="H248" s="259" t="s">
        <v>738</v>
      </c>
      <c r="I248" s="56"/>
    </row>
    <row r="249" spans="1:10" ht="26.25" x14ac:dyDescent="0.25">
      <c r="A249" s="262">
        <v>539</v>
      </c>
      <c r="B249" s="266" t="s">
        <v>335</v>
      </c>
      <c r="C249" s="389">
        <v>7988273</v>
      </c>
      <c r="D249" s="398" t="s">
        <v>742</v>
      </c>
      <c r="E249" s="254">
        <v>233</v>
      </c>
      <c r="F249" s="261" t="s">
        <v>743</v>
      </c>
      <c r="G249" s="287">
        <v>801336</v>
      </c>
      <c r="H249" s="259" t="s">
        <v>68</v>
      </c>
      <c r="I249" s="52"/>
    </row>
    <row r="250" spans="1:10" ht="26.25" x14ac:dyDescent="0.25">
      <c r="A250" s="254"/>
      <c r="B250" s="266"/>
      <c r="C250" s="390"/>
      <c r="D250" s="398"/>
      <c r="E250" s="254">
        <v>233</v>
      </c>
      <c r="F250" s="261" t="s">
        <v>743</v>
      </c>
      <c r="G250" s="287">
        <v>4251945</v>
      </c>
      <c r="H250" s="259" t="s">
        <v>738</v>
      </c>
      <c r="I250" s="52"/>
    </row>
    <row r="251" spans="1:10" ht="15" customHeight="1" x14ac:dyDescent="0.25">
      <c r="A251" s="254"/>
      <c r="B251" s="250" t="s">
        <v>94</v>
      </c>
      <c r="C251" s="397">
        <f>+C252</f>
        <v>16527024</v>
      </c>
      <c r="D251" s="398"/>
      <c r="E251" s="254">
        <v>249</v>
      </c>
      <c r="F251" s="261" t="s">
        <v>82</v>
      </c>
      <c r="G251" s="287">
        <v>1197434</v>
      </c>
      <c r="H251" s="259" t="s">
        <v>68</v>
      </c>
      <c r="I251" s="52"/>
      <c r="J251" s="52"/>
    </row>
    <row r="252" spans="1:10" x14ac:dyDescent="0.25">
      <c r="A252" s="254"/>
      <c r="B252" s="313" t="s">
        <v>632</v>
      </c>
      <c r="C252" s="397">
        <f>+C253</f>
        <v>16527024</v>
      </c>
      <c r="D252" s="398"/>
      <c r="E252" s="254">
        <v>252</v>
      </c>
      <c r="F252" s="261" t="s">
        <v>83</v>
      </c>
      <c r="G252" s="287">
        <v>163957</v>
      </c>
      <c r="H252" s="259" t="s">
        <v>68</v>
      </c>
      <c r="I252" s="56"/>
      <c r="J252" s="52"/>
    </row>
    <row r="253" spans="1:10" ht="26.25" x14ac:dyDescent="0.25">
      <c r="A253" s="262">
        <v>629</v>
      </c>
      <c r="B253" s="388" t="s">
        <v>349</v>
      </c>
      <c r="C253" s="389">
        <v>16527024</v>
      </c>
      <c r="D253" s="398" t="s">
        <v>738</v>
      </c>
      <c r="E253" s="254">
        <v>273</v>
      </c>
      <c r="F253" s="261" t="s">
        <v>114</v>
      </c>
      <c r="G253" s="287">
        <v>3034000</v>
      </c>
      <c r="H253" s="259" t="s">
        <v>68</v>
      </c>
      <c r="I253" s="52"/>
      <c r="J253" s="52"/>
    </row>
    <row r="254" spans="1:10" x14ac:dyDescent="0.25">
      <c r="A254" s="254"/>
      <c r="B254" s="298"/>
      <c r="C254" s="390"/>
      <c r="D254" s="398"/>
      <c r="E254" s="254">
        <v>292</v>
      </c>
      <c r="F254" s="261" t="s">
        <v>84</v>
      </c>
      <c r="G254" s="287">
        <v>386071</v>
      </c>
      <c r="H254" s="259" t="s">
        <v>68</v>
      </c>
      <c r="I254" s="52"/>
      <c r="J254" s="52"/>
    </row>
    <row r="255" spans="1:10" x14ac:dyDescent="0.25">
      <c r="A255" s="254"/>
      <c r="B255" s="298"/>
      <c r="C255" s="390"/>
      <c r="D255" s="398"/>
      <c r="E255" s="254">
        <v>299</v>
      </c>
      <c r="F255" s="261" t="s">
        <v>272</v>
      </c>
      <c r="G255" s="287">
        <v>902434</v>
      </c>
      <c r="H255" s="259" t="s">
        <v>68</v>
      </c>
      <c r="I255" s="56"/>
      <c r="J255" s="52"/>
    </row>
    <row r="256" spans="1:10" x14ac:dyDescent="0.25">
      <c r="A256" s="252"/>
      <c r="B256" s="252"/>
      <c r="C256" s="391"/>
      <c r="D256" s="252"/>
      <c r="E256" s="254">
        <v>362</v>
      </c>
      <c r="F256" s="261" t="s">
        <v>86</v>
      </c>
      <c r="G256" s="287">
        <v>3000000</v>
      </c>
      <c r="H256" s="259" t="s">
        <v>68</v>
      </c>
      <c r="I256" s="58"/>
      <c r="J256" s="52"/>
    </row>
    <row r="257" spans="1:10" x14ac:dyDescent="0.25">
      <c r="A257" s="252"/>
      <c r="B257" s="252"/>
      <c r="C257" s="391"/>
      <c r="D257" s="252"/>
      <c r="E257" s="254">
        <v>391</v>
      </c>
      <c r="F257" s="261" t="s">
        <v>680</v>
      </c>
      <c r="G257" s="287">
        <v>1237205</v>
      </c>
      <c r="H257" s="259" t="s">
        <v>68</v>
      </c>
      <c r="I257" s="58"/>
      <c r="J257" s="52"/>
    </row>
    <row r="258" spans="1:10" x14ac:dyDescent="0.25">
      <c r="A258" s="252"/>
      <c r="B258" s="252"/>
      <c r="C258" s="391"/>
      <c r="D258" s="252"/>
      <c r="E258" s="254">
        <v>393</v>
      </c>
      <c r="F258" s="261" t="s">
        <v>87</v>
      </c>
      <c r="G258" s="287">
        <v>1473794</v>
      </c>
      <c r="H258" s="259" t="s">
        <v>68</v>
      </c>
      <c r="I258" s="58"/>
      <c r="J258" s="52"/>
    </row>
    <row r="259" spans="1:10" ht="12.75" x14ac:dyDescent="0.2">
      <c r="A259" s="252"/>
      <c r="B259" s="252"/>
      <c r="C259" s="391"/>
      <c r="D259" s="252"/>
      <c r="E259" s="400"/>
      <c r="F259" s="252"/>
      <c r="G259" s="252"/>
      <c r="H259" s="259"/>
      <c r="I259" s="58"/>
      <c r="J259" s="52"/>
    </row>
    <row r="260" spans="1:10" ht="12.75" x14ac:dyDescent="0.2">
      <c r="A260" s="252"/>
      <c r="B260" s="252"/>
      <c r="C260" s="391"/>
      <c r="D260" s="252"/>
      <c r="E260" s="400"/>
      <c r="F260" s="303" t="s">
        <v>94</v>
      </c>
      <c r="G260" s="260">
        <f>+G261+G266</f>
        <v>29711575</v>
      </c>
      <c r="H260" s="259"/>
      <c r="I260" s="58"/>
      <c r="J260" s="52"/>
    </row>
    <row r="261" spans="1:10" ht="12.75" x14ac:dyDescent="0.2">
      <c r="A261" s="252"/>
      <c r="B261" s="252"/>
      <c r="C261" s="391"/>
      <c r="D261" s="252"/>
      <c r="E261" s="254"/>
      <c r="F261" s="250" t="s">
        <v>632</v>
      </c>
      <c r="G261" s="260">
        <f>SUM(G262:G264)</f>
        <v>15874369</v>
      </c>
      <c r="H261" s="259"/>
      <c r="I261" s="58"/>
      <c r="J261" s="52"/>
    </row>
    <row r="262" spans="1:10" ht="12.75" x14ac:dyDescent="0.2">
      <c r="A262" s="252"/>
      <c r="B262" s="252"/>
      <c r="C262" s="391"/>
      <c r="D262" s="252"/>
      <c r="E262" s="254">
        <v>432</v>
      </c>
      <c r="F262" s="252" t="s">
        <v>744</v>
      </c>
      <c r="G262" s="401">
        <v>45643</v>
      </c>
      <c r="H262" s="259" t="s">
        <v>68</v>
      </c>
      <c r="I262" s="58"/>
      <c r="J262" s="52"/>
    </row>
    <row r="263" spans="1:10" ht="12.75" x14ac:dyDescent="0.2">
      <c r="A263" s="252"/>
      <c r="B263" s="252"/>
      <c r="C263" s="391"/>
      <c r="D263" s="252"/>
      <c r="E263" s="254">
        <v>629</v>
      </c>
      <c r="F263" s="252" t="s">
        <v>349</v>
      </c>
      <c r="G263" s="390">
        <v>9846327</v>
      </c>
      <c r="H263" s="259" t="s">
        <v>68</v>
      </c>
      <c r="I263" s="58"/>
      <c r="J263" s="52"/>
    </row>
    <row r="264" spans="1:10" ht="12.75" x14ac:dyDescent="0.2">
      <c r="A264" s="252"/>
      <c r="B264" s="252"/>
      <c r="C264" s="391"/>
      <c r="D264" s="252"/>
      <c r="E264" s="254">
        <v>629</v>
      </c>
      <c r="F264" s="252" t="s">
        <v>349</v>
      </c>
      <c r="G264" s="390">
        <v>5982399</v>
      </c>
      <c r="H264" s="259" t="s">
        <v>740</v>
      </c>
      <c r="I264" s="58"/>
      <c r="J264" s="52"/>
    </row>
    <row r="265" spans="1:10" ht="12.75" x14ac:dyDescent="0.2">
      <c r="A265" s="252"/>
      <c r="B265" s="252"/>
      <c r="C265" s="391"/>
      <c r="D265" s="252"/>
      <c r="E265" s="254"/>
      <c r="F265" s="252"/>
      <c r="G265" s="257"/>
      <c r="H265" s="259"/>
      <c r="I265" s="58"/>
      <c r="J265" s="52"/>
    </row>
    <row r="266" spans="1:10" ht="12.75" x14ac:dyDescent="0.2">
      <c r="A266" s="252"/>
      <c r="B266" s="252"/>
      <c r="C266" s="391"/>
      <c r="D266" s="252"/>
      <c r="E266" s="254"/>
      <c r="F266" s="267" t="s">
        <v>73</v>
      </c>
      <c r="G266" s="251">
        <f>SUM(G267:G269)</f>
        <v>13837206</v>
      </c>
      <c r="H266" s="259"/>
      <c r="I266" s="59"/>
      <c r="J266" s="52"/>
    </row>
    <row r="267" spans="1:10" ht="37.5" customHeight="1" x14ac:dyDescent="0.2">
      <c r="A267" s="252"/>
      <c r="B267" s="252"/>
      <c r="C267" s="391"/>
      <c r="D267" s="252"/>
      <c r="E267" s="254"/>
      <c r="F267" s="261" t="s">
        <v>745</v>
      </c>
      <c r="G267" s="402">
        <v>1835769</v>
      </c>
      <c r="H267" s="259" t="s">
        <v>75</v>
      </c>
      <c r="I267" s="58"/>
      <c r="J267" s="54"/>
    </row>
    <row r="268" spans="1:10" ht="42.75" customHeight="1" x14ac:dyDescent="0.2">
      <c r="A268" s="252"/>
      <c r="B268" s="252"/>
      <c r="C268" s="391"/>
      <c r="D268" s="252"/>
      <c r="E268" s="252"/>
      <c r="F268" s="261" t="s">
        <v>745</v>
      </c>
      <c r="G268" s="389">
        <v>8881437</v>
      </c>
      <c r="H268" s="259" t="s">
        <v>213</v>
      </c>
      <c r="I268" s="58"/>
      <c r="J268" s="52"/>
    </row>
    <row r="269" spans="1:10" ht="25.5" x14ac:dyDescent="0.2">
      <c r="A269" s="252"/>
      <c r="B269" s="252"/>
      <c r="C269" s="391"/>
      <c r="D269" s="252"/>
      <c r="E269" s="252"/>
      <c r="F269" s="258" t="s">
        <v>746</v>
      </c>
      <c r="G269" s="389">
        <v>3120000</v>
      </c>
      <c r="H269" s="259" t="s">
        <v>75</v>
      </c>
      <c r="I269" s="58"/>
      <c r="J269" s="52"/>
    </row>
    <row r="270" spans="1:10" ht="12.75" x14ac:dyDescent="0.2">
      <c r="A270" s="252"/>
      <c r="B270" s="252"/>
      <c r="C270" s="391"/>
      <c r="D270" s="252"/>
      <c r="E270" s="252"/>
      <c r="F270" s="261"/>
      <c r="G270" s="390"/>
      <c r="H270" s="259"/>
      <c r="I270" s="58"/>
      <c r="J270" s="52"/>
    </row>
    <row r="271" spans="1:10" ht="12.75" x14ac:dyDescent="0.2">
      <c r="A271" s="252"/>
      <c r="B271" s="252"/>
      <c r="C271" s="391"/>
      <c r="D271" s="252"/>
      <c r="E271" s="252"/>
      <c r="F271" s="261"/>
      <c r="G271" s="390"/>
      <c r="H271" s="259"/>
      <c r="I271" s="58"/>
      <c r="J271" s="52"/>
    </row>
    <row r="272" spans="1:10" ht="15" customHeight="1" x14ac:dyDescent="0.25">
      <c r="A272" s="243"/>
      <c r="B272" s="270" t="s">
        <v>747</v>
      </c>
      <c r="C272" s="403">
        <f>+C273</f>
        <v>2636624</v>
      </c>
      <c r="D272" s="404"/>
      <c r="E272" s="404"/>
      <c r="F272" s="270" t="s">
        <v>747</v>
      </c>
      <c r="G272" s="403">
        <f>+G273</f>
        <v>2636624</v>
      </c>
      <c r="H272" s="259"/>
      <c r="I272" s="58"/>
      <c r="J272" s="52"/>
    </row>
    <row r="273" spans="1:10" ht="15" customHeight="1" x14ac:dyDescent="0.2">
      <c r="A273" s="252"/>
      <c r="B273" s="250" t="s">
        <v>94</v>
      </c>
      <c r="C273" s="334">
        <f>+C274</f>
        <v>2636624</v>
      </c>
      <c r="D273" s="342"/>
      <c r="E273" s="252"/>
      <c r="F273" s="250" t="s">
        <v>66</v>
      </c>
      <c r="G273" s="344">
        <f>+G274</f>
        <v>2636624</v>
      </c>
      <c r="H273" s="259"/>
      <c r="I273" s="58"/>
      <c r="J273" s="52"/>
    </row>
    <row r="274" spans="1:10" ht="15" customHeight="1" x14ac:dyDescent="0.2">
      <c r="A274" s="252"/>
      <c r="B274" s="405" t="s">
        <v>73</v>
      </c>
      <c r="C274" s="337">
        <f>+C275</f>
        <v>2636624</v>
      </c>
      <c r="D274" s="342"/>
      <c r="E274" s="252">
        <v>399</v>
      </c>
      <c r="F274" s="252" t="s">
        <v>748</v>
      </c>
      <c r="G274" s="337">
        <v>2636624</v>
      </c>
      <c r="H274" s="259" t="s">
        <v>668</v>
      </c>
      <c r="I274" s="58"/>
      <c r="J274" s="52"/>
    </row>
    <row r="275" spans="1:10" ht="30" customHeight="1" x14ac:dyDescent="0.2">
      <c r="A275" s="252"/>
      <c r="B275" s="266" t="s">
        <v>749</v>
      </c>
      <c r="C275" s="337">
        <v>2636624</v>
      </c>
      <c r="D275" s="342" t="s">
        <v>80</v>
      </c>
      <c r="E275" s="252"/>
      <c r="F275" s="261"/>
      <c r="G275" s="390"/>
      <c r="H275" s="259"/>
      <c r="I275" s="58"/>
      <c r="J275" s="52"/>
    </row>
    <row r="276" spans="1:10" ht="12.75" x14ac:dyDescent="0.2">
      <c r="A276" s="252"/>
      <c r="B276" s="252"/>
      <c r="C276" s="391"/>
      <c r="D276" s="252"/>
      <c r="E276" s="252"/>
      <c r="F276" s="261"/>
      <c r="G276" s="390"/>
      <c r="H276" s="259"/>
      <c r="I276" s="58"/>
      <c r="J276" s="52"/>
    </row>
    <row r="277" spans="1:10" ht="15" customHeight="1" x14ac:dyDescent="0.25">
      <c r="A277" s="252"/>
      <c r="B277" s="315" t="s">
        <v>750</v>
      </c>
      <c r="C277" s="272">
        <f>+C278</f>
        <v>309000</v>
      </c>
      <c r="D277" s="268"/>
      <c r="E277" s="252"/>
      <c r="F277" s="315" t="s">
        <v>750</v>
      </c>
      <c r="G277" s="272">
        <f>+G278</f>
        <v>309000</v>
      </c>
      <c r="H277" s="259"/>
      <c r="I277" s="52"/>
      <c r="J277" s="52"/>
    </row>
    <row r="278" spans="1:10" ht="15" customHeight="1" x14ac:dyDescent="0.25">
      <c r="A278" s="243"/>
      <c r="B278" s="295" t="s">
        <v>66</v>
      </c>
      <c r="C278" s="272">
        <f>SUM(C279:C290)</f>
        <v>309000</v>
      </c>
      <c r="D278" s="268"/>
      <c r="E278" s="243"/>
      <c r="F278" s="295" t="s">
        <v>66</v>
      </c>
      <c r="G278" s="272">
        <f>+G279</f>
        <v>309000</v>
      </c>
      <c r="H278" s="259"/>
      <c r="I278" s="52"/>
      <c r="J278" s="52"/>
    </row>
    <row r="279" spans="1:10" ht="15" customHeight="1" x14ac:dyDescent="0.2">
      <c r="A279" s="406">
        <v>111</v>
      </c>
      <c r="B279" s="266" t="s">
        <v>90</v>
      </c>
      <c r="C279" s="386">
        <v>52250</v>
      </c>
      <c r="D279" s="343" t="s">
        <v>68</v>
      </c>
      <c r="E279" s="406">
        <v>581</v>
      </c>
      <c r="F279" s="407" t="s">
        <v>140</v>
      </c>
      <c r="G279" s="386">
        <v>309000</v>
      </c>
      <c r="H279" s="259" t="s">
        <v>68</v>
      </c>
      <c r="I279" s="52"/>
      <c r="J279" s="52"/>
    </row>
    <row r="280" spans="1:10" ht="15" customHeight="1" x14ac:dyDescent="0.2">
      <c r="A280" s="406">
        <v>211</v>
      </c>
      <c r="B280" s="266" t="s">
        <v>751</v>
      </c>
      <c r="C280" s="386">
        <v>7039</v>
      </c>
      <c r="D280" s="343" t="s">
        <v>68</v>
      </c>
      <c r="E280" s="406"/>
      <c r="F280" s="407"/>
      <c r="G280" s="386"/>
      <c r="H280" s="259"/>
      <c r="I280" s="52"/>
      <c r="J280" s="52"/>
    </row>
    <row r="281" spans="1:10" ht="15" customHeight="1" x14ac:dyDescent="0.2">
      <c r="A281" s="406">
        <v>219</v>
      </c>
      <c r="B281" s="266" t="s">
        <v>280</v>
      </c>
      <c r="C281" s="386">
        <v>2570</v>
      </c>
      <c r="D281" s="343" t="s">
        <v>68</v>
      </c>
      <c r="E281" s="254"/>
      <c r="F281" s="259"/>
      <c r="G281" s="274"/>
      <c r="H281" s="259"/>
      <c r="I281" s="52"/>
      <c r="J281" s="52"/>
    </row>
    <row r="282" spans="1:10" ht="15" customHeight="1" x14ac:dyDescent="0.2">
      <c r="A282" s="406">
        <v>231</v>
      </c>
      <c r="B282" s="266" t="s">
        <v>123</v>
      </c>
      <c r="C282" s="386">
        <v>20776</v>
      </c>
      <c r="D282" s="343" t="s">
        <v>68</v>
      </c>
      <c r="E282" s="254"/>
      <c r="F282" s="259"/>
      <c r="G282" s="274"/>
      <c r="H282" s="259"/>
      <c r="I282" s="52"/>
      <c r="J282" s="52"/>
    </row>
    <row r="283" spans="1:10" ht="15" customHeight="1" x14ac:dyDescent="0.2">
      <c r="A283" s="254">
        <v>252</v>
      </c>
      <c r="B283" s="266" t="s">
        <v>83</v>
      </c>
      <c r="C283" s="386">
        <v>24183</v>
      </c>
      <c r="D283" s="343" t="s">
        <v>68</v>
      </c>
      <c r="E283" s="254"/>
      <c r="F283" s="259"/>
      <c r="G283" s="274"/>
      <c r="H283" s="259"/>
      <c r="I283" s="52"/>
      <c r="J283" s="52"/>
    </row>
    <row r="284" spans="1:10" ht="15" customHeight="1" x14ac:dyDescent="0.2">
      <c r="A284" s="406">
        <v>271</v>
      </c>
      <c r="B284" s="266" t="s">
        <v>244</v>
      </c>
      <c r="C284" s="386">
        <v>3785</v>
      </c>
      <c r="D284" s="343" t="s">
        <v>68</v>
      </c>
      <c r="E284" s="254"/>
      <c r="F284" s="259"/>
      <c r="G284" s="274"/>
      <c r="H284" s="259"/>
      <c r="I284" s="52"/>
      <c r="J284" s="52"/>
    </row>
    <row r="285" spans="1:10" ht="15" customHeight="1" x14ac:dyDescent="0.2">
      <c r="A285" s="406">
        <v>273</v>
      </c>
      <c r="B285" s="266" t="s">
        <v>114</v>
      </c>
      <c r="C285" s="386">
        <v>28362</v>
      </c>
      <c r="D285" s="343" t="s">
        <v>68</v>
      </c>
      <c r="E285" s="254"/>
      <c r="F285" s="259"/>
      <c r="G285" s="274"/>
      <c r="H285" s="259"/>
      <c r="I285" s="52"/>
      <c r="J285" s="52"/>
    </row>
    <row r="286" spans="1:10" ht="15" customHeight="1" x14ac:dyDescent="0.2">
      <c r="A286" s="406">
        <v>311</v>
      </c>
      <c r="B286" s="266" t="s">
        <v>161</v>
      </c>
      <c r="C286" s="386">
        <v>111037</v>
      </c>
      <c r="D286" s="343" t="s">
        <v>68</v>
      </c>
      <c r="E286" s="254"/>
      <c r="F286" s="259"/>
      <c r="G286" s="274"/>
      <c r="H286" s="259"/>
      <c r="I286" s="52"/>
      <c r="J286" s="52"/>
    </row>
    <row r="287" spans="1:10" ht="15" customHeight="1" x14ac:dyDescent="0.2">
      <c r="A287" s="254">
        <v>333</v>
      </c>
      <c r="B287" s="266" t="s">
        <v>146</v>
      </c>
      <c r="C287" s="386">
        <v>9946</v>
      </c>
      <c r="D287" s="343" t="s">
        <v>68</v>
      </c>
      <c r="E287" s="254"/>
      <c r="F287" s="259"/>
      <c r="G287" s="274"/>
      <c r="H287" s="259"/>
      <c r="I287" s="52"/>
      <c r="J287" s="52"/>
    </row>
    <row r="288" spans="1:10" ht="15" customHeight="1" x14ac:dyDescent="0.2">
      <c r="A288" s="254">
        <v>353</v>
      </c>
      <c r="B288" s="266" t="s">
        <v>116</v>
      </c>
      <c r="C288" s="386">
        <v>6397</v>
      </c>
      <c r="D288" s="343" t="s">
        <v>68</v>
      </c>
      <c r="E288" s="254"/>
      <c r="F288" s="259"/>
      <c r="G288" s="274"/>
      <c r="H288" s="259"/>
      <c r="I288" s="52"/>
      <c r="J288" s="52"/>
    </row>
    <row r="289" spans="1:10" ht="15" customHeight="1" x14ac:dyDescent="0.2">
      <c r="A289" s="254">
        <v>362</v>
      </c>
      <c r="B289" s="266" t="s">
        <v>117</v>
      </c>
      <c r="C289" s="386">
        <v>30353</v>
      </c>
      <c r="D289" s="343" t="s">
        <v>68</v>
      </c>
      <c r="E289" s="254"/>
      <c r="F289" s="259"/>
      <c r="G289" s="274"/>
      <c r="H289" s="259"/>
      <c r="I289" s="52"/>
      <c r="J289" s="52"/>
    </row>
    <row r="290" spans="1:10" ht="15" customHeight="1" x14ac:dyDescent="0.2">
      <c r="A290" s="254">
        <v>391</v>
      </c>
      <c r="B290" s="266" t="s">
        <v>134</v>
      </c>
      <c r="C290" s="386">
        <v>12302</v>
      </c>
      <c r="D290" s="343" t="s">
        <v>68</v>
      </c>
      <c r="E290" s="254"/>
      <c r="F290" s="259"/>
      <c r="G290" s="274"/>
      <c r="H290" s="259"/>
      <c r="I290" s="52"/>
      <c r="J290" s="52"/>
    </row>
    <row r="291" spans="1:10" ht="15" customHeight="1" x14ac:dyDescent="0.2">
      <c r="A291" s="463"/>
      <c r="B291" s="408"/>
      <c r="C291" s="409"/>
      <c r="D291" s="259"/>
      <c r="E291" s="252"/>
      <c r="F291" s="252"/>
      <c r="G291" s="252"/>
      <c r="H291" s="259"/>
      <c r="I291" s="52"/>
      <c r="J291" s="52"/>
    </row>
    <row r="292" spans="1:10" ht="15" customHeight="1" x14ac:dyDescent="0.25">
      <c r="A292" s="252"/>
      <c r="B292" s="315" t="s">
        <v>752</v>
      </c>
      <c r="C292" s="272">
        <f>+C293</f>
        <v>1053305</v>
      </c>
      <c r="D292" s="268"/>
      <c r="E292" s="252"/>
      <c r="F292" s="315" t="s">
        <v>752</v>
      </c>
      <c r="G292" s="272">
        <f>+G293</f>
        <v>1053305</v>
      </c>
      <c r="H292" s="259"/>
      <c r="I292" s="52"/>
      <c r="J292" s="52"/>
    </row>
    <row r="293" spans="1:10" ht="15" customHeight="1" x14ac:dyDescent="0.25">
      <c r="A293" s="243"/>
      <c r="B293" s="295" t="s">
        <v>66</v>
      </c>
      <c r="C293" s="272">
        <f>SUM(C294:C313)</f>
        <v>1053305</v>
      </c>
      <c r="D293" s="268"/>
      <c r="E293" s="243"/>
      <c r="F293" s="295" t="s">
        <v>66</v>
      </c>
      <c r="G293" s="272">
        <f>SUM(G294:G296)</f>
        <v>1053305</v>
      </c>
      <c r="H293" s="259"/>
      <c r="I293" s="52"/>
      <c r="J293" s="52"/>
    </row>
    <row r="294" spans="1:10" ht="15" customHeight="1" x14ac:dyDescent="0.2">
      <c r="A294" s="254">
        <v>211</v>
      </c>
      <c r="B294" s="266" t="s">
        <v>751</v>
      </c>
      <c r="C294" s="386">
        <v>44725</v>
      </c>
      <c r="D294" s="343" t="s">
        <v>68</v>
      </c>
      <c r="E294" s="406">
        <v>111</v>
      </c>
      <c r="F294" s="407" t="s">
        <v>90</v>
      </c>
      <c r="G294" s="386">
        <v>813191</v>
      </c>
      <c r="H294" s="259" t="s">
        <v>68</v>
      </c>
      <c r="I294" s="52"/>
      <c r="J294" s="52"/>
    </row>
    <row r="295" spans="1:10" ht="15" customHeight="1" x14ac:dyDescent="0.2">
      <c r="A295" s="254">
        <v>216</v>
      </c>
      <c r="B295" s="266" t="s">
        <v>131</v>
      </c>
      <c r="C295" s="386">
        <v>591985</v>
      </c>
      <c r="D295" s="343" t="s">
        <v>68</v>
      </c>
      <c r="E295" s="406">
        <v>113</v>
      </c>
      <c r="F295" s="407" t="s">
        <v>202</v>
      </c>
      <c r="G295" s="386">
        <v>67766</v>
      </c>
      <c r="H295" s="259" t="s">
        <v>68</v>
      </c>
      <c r="I295" s="52"/>
      <c r="J295" s="52"/>
    </row>
    <row r="296" spans="1:10" ht="15" customHeight="1" x14ac:dyDescent="0.2">
      <c r="A296" s="254">
        <v>219</v>
      </c>
      <c r="B296" s="266" t="s">
        <v>280</v>
      </c>
      <c r="C296" s="386">
        <v>2785</v>
      </c>
      <c r="D296" s="343" t="s">
        <v>68</v>
      </c>
      <c r="E296" s="406">
        <v>114</v>
      </c>
      <c r="F296" s="407" t="s">
        <v>159</v>
      </c>
      <c r="G296" s="386">
        <f>84095+88253</f>
        <v>172348</v>
      </c>
      <c r="H296" s="259" t="s">
        <v>68</v>
      </c>
      <c r="I296" s="52"/>
      <c r="J296" s="52"/>
    </row>
    <row r="297" spans="1:10" ht="15" customHeight="1" x14ac:dyDescent="0.2">
      <c r="A297" s="254">
        <v>231</v>
      </c>
      <c r="B297" s="266" t="s">
        <v>123</v>
      </c>
      <c r="C297" s="386">
        <v>42530</v>
      </c>
      <c r="D297" s="343" t="s">
        <v>68</v>
      </c>
      <c r="E297" s="252"/>
      <c r="F297" s="252"/>
      <c r="G297" s="252"/>
      <c r="H297" s="259"/>
      <c r="I297" s="52"/>
      <c r="J297" s="52"/>
    </row>
    <row r="298" spans="1:10" ht="15" customHeight="1" x14ac:dyDescent="0.2">
      <c r="A298" s="254">
        <v>233</v>
      </c>
      <c r="B298" s="266" t="s">
        <v>133</v>
      </c>
      <c r="C298" s="386">
        <v>7066</v>
      </c>
      <c r="D298" s="343" t="s">
        <v>68</v>
      </c>
      <c r="E298" s="252"/>
      <c r="F298" s="252"/>
      <c r="G298" s="252"/>
      <c r="H298" s="259"/>
      <c r="I298" s="52"/>
      <c r="J298" s="52"/>
    </row>
    <row r="299" spans="1:10" ht="15" customHeight="1" x14ac:dyDescent="0.2">
      <c r="A299" s="254">
        <v>244</v>
      </c>
      <c r="B299" s="266" t="s">
        <v>99</v>
      </c>
      <c r="C299" s="386">
        <v>156021</v>
      </c>
      <c r="D299" s="343" t="s">
        <v>68</v>
      </c>
      <c r="E299" s="252"/>
      <c r="F299" s="252"/>
      <c r="G299" s="252"/>
      <c r="H299" s="259"/>
      <c r="I299" s="52"/>
      <c r="J299" s="52"/>
    </row>
    <row r="300" spans="1:10" ht="15" customHeight="1" x14ac:dyDescent="0.2">
      <c r="A300" s="254">
        <v>272</v>
      </c>
      <c r="B300" s="266" t="s">
        <v>113</v>
      </c>
      <c r="C300" s="386">
        <v>16189</v>
      </c>
      <c r="D300" s="343" t="s">
        <v>68</v>
      </c>
      <c r="E300" s="252"/>
      <c r="F300" s="252"/>
      <c r="G300" s="252"/>
      <c r="H300" s="259"/>
      <c r="I300" s="52"/>
      <c r="J300" s="52"/>
    </row>
    <row r="301" spans="1:10" ht="15" customHeight="1" x14ac:dyDescent="0.2">
      <c r="A301" s="254">
        <v>273</v>
      </c>
      <c r="B301" s="266" t="s">
        <v>114</v>
      </c>
      <c r="C301" s="386">
        <v>58887</v>
      </c>
      <c r="D301" s="343" t="s">
        <v>68</v>
      </c>
      <c r="E301" s="252"/>
      <c r="F301" s="252"/>
      <c r="G301" s="252"/>
      <c r="H301" s="259"/>
      <c r="I301" s="52"/>
      <c r="J301" s="52"/>
    </row>
    <row r="302" spans="1:10" ht="15" customHeight="1" x14ac:dyDescent="0.2">
      <c r="A302" s="254">
        <v>291</v>
      </c>
      <c r="B302" s="266" t="s">
        <v>286</v>
      </c>
      <c r="C302" s="386">
        <v>2500</v>
      </c>
      <c r="D302" s="343" t="s">
        <v>68</v>
      </c>
      <c r="E302" s="252"/>
      <c r="F302" s="252"/>
      <c r="G302" s="252"/>
      <c r="H302" s="259"/>
      <c r="I302" s="52"/>
      <c r="J302" s="52"/>
    </row>
    <row r="303" spans="1:10" ht="15" customHeight="1" x14ac:dyDescent="0.2">
      <c r="A303" s="254">
        <v>311</v>
      </c>
      <c r="B303" s="266" t="s">
        <v>161</v>
      </c>
      <c r="C303" s="386">
        <v>54872</v>
      </c>
      <c r="D303" s="343" t="s">
        <v>68</v>
      </c>
      <c r="E303" s="252"/>
      <c r="F303" s="252"/>
      <c r="G303" s="252"/>
      <c r="H303" s="259"/>
      <c r="I303" s="52"/>
      <c r="J303" s="52"/>
    </row>
    <row r="304" spans="1:10" ht="15" customHeight="1" x14ac:dyDescent="0.2">
      <c r="A304" s="254">
        <v>312</v>
      </c>
      <c r="B304" s="266" t="s">
        <v>287</v>
      </c>
      <c r="C304" s="386">
        <v>9823</v>
      </c>
      <c r="D304" s="343" t="s">
        <v>68</v>
      </c>
      <c r="E304" s="252"/>
      <c r="F304" s="252"/>
      <c r="G304" s="252"/>
      <c r="H304" s="259"/>
      <c r="I304" s="52"/>
      <c r="J304" s="52"/>
    </row>
    <row r="305" spans="1:10" ht="15" customHeight="1" x14ac:dyDescent="0.2">
      <c r="A305" s="254">
        <v>341</v>
      </c>
      <c r="B305" s="266" t="s">
        <v>147</v>
      </c>
      <c r="C305" s="386">
        <v>6564</v>
      </c>
      <c r="D305" s="343" t="s">
        <v>68</v>
      </c>
      <c r="E305" s="252"/>
      <c r="F305" s="252"/>
      <c r="G305" s="252"/>
      <c r="H305" s="259"/>
      <c r="I305" s="52"/>
      <c r="J305" s="52"/>
    </row>
    <row r="306" spans="1:10" ht="15" customHeight="1" x14ac:dyDescent="0.2">
      <c r="A306" s="254">
        <v>342</v>
      </c>
      <c r="B306" s="266" t="s">
        <v>227</v>
      </c>
      <c r="C306" s="386">
        <v>7594</v>
      </c>
      <c r="D306" s="343" t="s">
        <v>68</v>
      </c>
      <c r="E306" s="252"/>
      <c r="F306" s="252"/>
      <c r="G306" s="252"/>
      <c r="H306" s="259"/>
      <c r="I306" s="52"/>
      <c r="J306" s="52"/>
    </row>
    <row r="307" spans="1:10" ht="15" customHeight="1" x14ac:dyDescent="0.2">
      <c r="A307" s="254">
        <v>353</v>
      </c>
      <c r="B307" s="266" t="s">
        <v>149</v>
      </c>
      <c r="C307" s="386">
        <v>5202</v>
      </c>
      <c r="D307" s="343" t="s">
        <v>68</v>
      </c>
      <c r="E307" s="252"/>
      <c r="F307" s="252"/>
      <c r="G307" s="252"/>
      <c r="H307" s="259"/>
      <c r="I307" s="52"/>
      <c r="J307" s="52"/>
    </row>
    <row r="308" spans="1:10" ht="15" customHeight="1" x14ac:dyDescent="0.2">
      <c r="A308" s="254">
        <v>362</v>
      </c>
      <c r="B308" s="266" t="s">
        <v>117</v>
      </c>
      <c r="C308" s="386">
        <v>18855</v>
      </c>
      <c r="D308" s="343" t="s">
        <v>68</v>
      </c>
      <c r="E308" s="252"/>
      <c r="F308" s="252"/>
      <c r="G308" s="252"/>
      <c r="H308" s="259"/>
      <c r="I308" s="52"/>
      <c r="J308" s="52"/>
    </row>
    <row r="309" spans="1:10" ht="15" customHeight="1" x14ac:dyDescent="0.2">
      <c r="A309" s="254">
        <v>365</v>
      </c>
      <c r="B309" s="266" t="s">
        <v>753</v>
      </c>
      <c r="C309" s="386">
        <v>2764</v>
      </c>
      <c r="D309" s="343" t="s">
        <v>68</v>
      </c>
      <c r="E309" s="252"/>
      <c r="F309" s="252"/>
      <c r="G309" s="252"/>
      <c r="H309" s="259"/>
      <c r="I309" s="52"/>
      <c r="J309" s="52"/>
    </row>
    <row r="310" spans="1:10" ht="15" customHeight="1" x14ac:dyDescent="0.2">
      <c r="A310" s="254">
        <v>369</v>
      </c>
      <c r="B310" s="266" t="s">
        <v>137</v>
      </c>
      <c r="C310" s="386">
        <v>4331</v>
      </c>
      <c r="D310" s="343" t="s">
        <v>68</v>
      </c>
      <c r="E310" s="252"/>
      <c r="F310" s="252"/>
      <c r="G310" s="252"/>
      <c r="H310" s="259"/>
      <c r="I310" s="52"/>
      <c r="J310" s="52"/>
    </row>
    <row r="311" spans="1:10" ht="15" customHeight="1" x14ac:dyDescent="0.2">
      <c r="A311" s="254">
        <v>391</v>
      </c>
      <c r="B311" s="266" t="s">
        <v>665</v>
      </c>
      <c r="C311" s="386">
        <v>13737</v>
      </c>
      <c r="D311" s="343" t="s">
        <v>68</v>
      </c>
      <c r="E311" s="252"/>
      <c r="F311" s="252"/>
      <c r="G311" s="252"/>
      <c r="H311" s="259"/>
      <c r="I311" s="52"/>
      <c r="J311" s="52"/>
    </row>
    <row r="312" spans="1:10" ht="15" customHeight="1" x14ac:dyDescent="0.2">
      <c r="A312" s="254">
        <v>393</v>
      </c>
      <c r="B312" s="266" t="s">
        <v>653</v>
      </c>
      <c r="C312" s="386">
        <v>3227</v>
      </c>
      <c r="D312" s="343" t="s">
        <v>68</v>
      </c>
      <c r="E312" s="252"/>
      <c r="F312" s="252"/>
      <c r="G312" s="252"/>
      <c r="H312" s="259"/>
      <c r="I312" s="52"/>
      <c r="J312" s="52"/>
    </row>
    <row r="313" spans="1:10" ht="15" customHeight="1" x14ac:dyDescent="0.2">
      <c r="A313" s="254">
        <v>399</v>
      </c>
      <c r="B313" s="266" t="s">
        <v>71</v>
      </c>
      <c r="C313" s="386">
        <f>3571+77</f>
        <v>3648</v>
      </c>
      <c r="D313" s="343" t="s">
        <v>68</v>
      </c>
      <c r="E313" s="252"/>
      <c r="F313" s="252"/>
      <c r="G313" s="252"/>
      <c r="H313" s="259"/>
      <c r="I313" s="52"/>
      <c r="J313" s="52"/>
    </row>
    <row r="314" spans="1:10" ht="15" customHeight="1" x14ac:dyDescent="0.2">
      <c r="A314" s="252"/>
      <c r="B314" s="252"/>
      <c r="C314" s="391"/>
      <c r="D314" s="252"/>
      <c r="E314" s="252"/>
      <c r="F314" s="252"/>
      <c r="G314" s="252"/>
      <c r="H314" s="259"/>
      <c r="I314" s="52"/>
      <c r="J314" s="52"/>
    </row>
    <row r="315" spans="1:10" ht="37.5" customHeight="1" x14ac:dyDescent="0.2">
      <c r="A315" s="243"/>
      <c r="B315" s="270" t="s">
        <v>957</v>
      </c>
      <c r="C315" s="245">
        <f>+C316</f>
        <v>3053595</v>
      </c>
      <c r="D315" s="247"/>
      <c r="E315" s="247"/>
      <c r="F315" s="270" t="s">
        <v>957</v>
      </c>
      <c r="G315" s="410">
        <f>+G316</f>
        <v>3053595</v>
      </c>
      <c r="H315" s="259"/>
      <c r="I315" s="52"/>
      <c r="J315" s="52"/>
    </row>
    <row r="316" spans="1:10" ht="15" customHeight="1" x14ac:dyDescent="0.2">
      <c r="A316" s="250"/>
      <c r="B316" s="295" t="s">
        <v>66</v>
      </c>
      <c r="C316" s="251">
        <f>SUM(C317:C324)</f>
        <v>3053595</v>
      </c>
      <c r="D316" s="250"/>
      <c r="E316" s="278"/>
      <c r="F316" s="250" t="s">
        <v>66</v>
      </c>
      <c r="G316" s="260">
        <f>SUM(G317:G324)</f>
        <v>3053595</v>
      </c>
      <c r="H316" s="259"/>
      <c r="I316" s="52"/>
      <c r="J316" s="52"/>
    </row>
    <row r="317" spans="1:10" ht="15" customHeight="1" x14ac:dyDescent="0.2">
      <c r="A317" s="254">
        <v>111</v>
      </c>
      <c r="B317" s="266" t="s">
        <v>157</v>
      </c>
      <c r="C317" s="265">
        <v>997808</v>
      </c>
      <c r="D317" s="343" t="s">
        <v>68</v>
      </c>
      <c r="E317" s="254">
        <v>114</v>
      </c>
      <c r="F317" s="411" t="s">
        <v>159</v>
      </c>
      <c r="G317" s="265">
        <v>452312</v>
      </c>
      <c r="H317" s="259" t="s">
        <v>68</v>
      </c>
      <c r="I317" s="52"/>
      <c r="J317" s="52"/>
    </row>
    <row r="318" spans="1:10" ht="15" customHeight="1" x14ac:dyDescent="0.2">
      <c r="A318" s="254">
        <v>119</v>
      </c>
      <c r="B318" s="266" t="s">
        <v>160</v>
      </c>
      <c r="C318" s="265">
        <v>1040652</v>
      </c>
      <c r="D318" s="343" t="s">
        <v>68</v>
      </c>
      <c r="E318" s="254">
        <v>131</v>
      </c>
      <c r="F318" s="411" t="s">
        <v>135</v>
      </c>
      <c r="G318" s="265">
        <v>1336735</v>
      </c>
      <c r="H318" s="259" t="s">
        <v>68</v>
      </c>
      <c r="I318" s="52"/>
      <c r="J318" s="52"/>
    </row>
    <row r="319" spans="1:10" ht="15" customHeight="1" x14ac:dyDescent="0.2">
      <c r="A319" s="254">
        <v>211</v>
      </c>
      <c r="B319" s="266" t="s">
        <v>754</v>
      </c>
      <c r="C319" s="265">
        <v>50000</v>
      </c>
      <c r="D319" s="343" t="s">
        <v>68</v>
      </c>
      <c r="E319" s="254">
        <v>136</v>
      </c>
      <c r="F319" s="411" t="s">
        <v>274</v>
      </c>
      <c r="G319" s="265">
        <v>42378</v>
      </c>
      <c r="H319" s="259" t="s">
        <v>68</v>
      </c>
      <c r="I319" s="52"/>
      <c r="J319" s="52"/>
    </row>
    <row r="320" spans="1:10" ht="15" customHeight="1" x14ac:dyDescent="0.2">
      <c r="A320" s="254">
        <v>216</v>
      </c>
      <c r="B320" s="266" t="s">
        <v>631</v>
      </c>
      <c r="C320" s="257">
        <v>383273</v>
      </c>
      <c r="D320" s="343" t="s">
        <v>68</v>
      </c>
      <c r="E320" s="254">
        <v>137</v>
      </c>
      <c r="F320" s="411" t="s">
        <v>275</v>
      </c>
      <c r="G320" s="265">
        <v>81365</v>
      </c>
      <c r="H320" s="259" t="s">
        <v>68</v>
      </c>
      <c r="I320" s="52"/>
      <c r="J320" s="52"/>
    </row>
    <row r="321" spans="1:10" ht="22.5" customHeight="1" x14ac:dyDescent="0.2">
      <c r="A321" s="469">
        <v>231</v>
      </c>
      <c r="B321" s="266" t="s">
        <v>755</v>
      </c>
      <c r="C321" s="257">
        <v>34194</v>
      </c>
      <c r="D321" s="343" t="s">
        <v>68</v>
      </c>
      <c r="E321" s="254">
        <v>151</v>
      </c>
      <c r="F321" s="411" t="s">
        <v>205</v>
      </c>
      <c r="G321" s="265">
        <v>106500</v>
      </c>
      <c r="H321" s="259" t="s">
        <v>68</v>
      </c>
      <c r="I321" s="52"/>
      <c r="J321" s="52"/>
    </row>
    <row r="322" spans="1:10" ht="28.5" customHeight="1" x14ac:dyDescent="0.2">
      <c r="A322" s="254">
        <v>232</v>
      </c>
      <c r="B322" s="266" t="s">
        <v>132</v>
      </c>
      <c r="C322" s="257">
        <v>150000</v>
      </c>
      <c r="D322" s="343" t="s">
        <v>68</v>
      </c>
      <c r="E322" s="254">
        <v>191</v>
      </c>
      <c r="F322" s="411" t="s">
        <v>103</v>
      </c>
      <c r="G322" s="265">
        <v>9000</v>
      </c>
      <c r="H322" s="259" t="s">
        <v>68</v>
      </c>
      <c r="I322" s="52"/>
      <c r="J322" s="52"/>
    </row>
    <row r="323" spans="1:10" ht="15" customHeight="1" x14ac:dyDescent="0.2">
      <c r="A323" s="254">
        <v>369</v>
      </c>
      <c r="B323" s="266" t="s">
        <v>137</v>
      </c>
      <c r="C323" s="265">
        <v>346005</v>
      </c>
      <c r="D323" s="343" t="s">
        <v>68</v>
      </c>
      <c r="E323" s="254">
        <v>193</v>
      </c>
      <c r="F323" s="411" t="s">
        <v>207</v>
      </c>
      <c r="G323" s="265">
        <v>10170</v>
      </c>
      <c r="H323" s="259" t="s">
        <v>68</v>
      </c>
      <c r="I323" s="52"/>
      <c r="J323" s="52"/>
    </row>
    <row r="324" spans="1:10" ht="27.75" customHeight="1" x14ac:dyDescent="0.2">
      <c r="A324" s="254">
        <v>391</v>
      </c>
      <c r="B324" s="266" t="s">
        <v>121</v>
      </c>
      <c r="C324" s="257">
        <v>51663</v>
      </c>
      <c r="D324" s="343" t="s">
        <v>68</v>
      </c>
      <c r="E324" s="254">
        <v>243</v>
      </c>
      <c r="F324" s="266" t="s">
        <v>70</v>
      </c>
      <c r="G324" s="257">
        <v>1015135</v>
      </c>
      <c r="H324" s="259" t="s">
        <v>68</v>
      </c>
      <c r="I324" s="52"/>
      <c r="J324" s="52"/>
    </row>
    <row r="325" spans="1:10" ht="15" customHeight="1" x14ac:dyDescent="0.2">
      <c r="A325" s="254"/>
      <c r="B325" s="412"/>
      <c r="C325" s="257"/>
      <c r="D325" s="343"/>
      <c r="E325" s="254"/>
      <c r="F325" s="412"/>
      <c r="G325" s="257"/>
      <c r="H325" s="261"/>
      <c r="I325" s="52"/>
      <c r="J325" s="52"/>
    </row>
    <row r="326" spans="1:10" ht="15" customHeight="1" x14ac:dyDescent="0.25">
      <c r="A326" s="254"/>
      <c r="B326" s="413" t="s">
        <v>756</v>
      </c>
      <c r="C326" s="251">
        <f>SUM(C327:C331)</f>
        <v>286810034</v>
      </c>
      <c r="D326" s="414"/>
      <c r="E326" s="254"/>
      <c r="F326" s="413" t="s">
        <v>756</v>
      </c>
      <c r="G326" s="251">
        <f>SUM(G327:G331)</f>
        <v>286810034</v>
      </c>
      <c r="H326" s="414"/>
      <c r="I326" s="52"/>
      <c r="J326" s="52"/>
    </row>
    <row r="327" spans="1:10" ht="15" customHeight="1" x14ac:dyDescent="0.2">
      <c r="A327" s="254"/>
      <c r="B327" s="266" t="s">
        <v>68</v>
      </c>
      <c r="C327" s="257">
        <f>+C334+C340</f>
        <v>162089328</v>
      </c>
      <c r="D327" s="415"/>
      <c r="E327" s="254"/>
      <c r="F327" s="252" t="s">
        <v>68</v>
      </c>
      <c r="G327" s="257">
        <f>+G334+G340</f>
        <v>14163864</v>
      </c>
      <c r="H327" s="343"/>
      <c r="I327" s="52"/>
      <c r="J327" s="52"/>
    </row>
    <row r="328" spans="1:10" ht="15" customHeight="1" x14ac:dyDescent="0.2">
      <c r="A328" s="254"/>
      <c r="B328" s="266" t="s">
        <v>790</v>
      </c>
      <c r="C328" s="257">
        <f>C341</f>
        <v>10576515</v>
      </c>
      <c r="D328" s="415"/>
      <c r="E328" s="254"/>
      <c r="F328" s="252"/>
      <c r="G328" s="257"/>
      <c r="H328" s="343"/>
      <c r="I328" s="52"/>
      <c r="J328" s="52"/>
    </row>
    <row r="329" spans="1:10" ht="15" customHeight="1" x14ac:dyDescent="0.2">
      <c r="A329" s="254"/>
      <c r="B329" s="266" t="s">
        <v>112</v>
      </c>
      <c r="C329" s="257">
        <f>+C335</f>
        <v>0</v>
      </c>
      <c r="D329" s="415"/>
      <c r="E329" s="254"/>
      <c r="F329" s="252" t="s">
        <v>112</v>
      </c>
      <c r="G329" s="257">
        <f>+G335</f>
        <v>1741783</v>
      </c>
      <c r="H329" s="343"/>
      <c r="I329" s="52"/>
      <c r="J329" s="52"/>
    </row>
    <row r="330" spans="1:10" ht="15" customHeight="1" x14ac:dyDescent="0.2">
      <c r="A330" s="254"/>
      <c r="B330" s="266" t="s">
        <v>757</v>
      </c>
      <c r="C330" s="257">
        <f>+C336+C342</f>
        <v>88662867</v>
      </c>
      <c r="D330" s="343"/>
      <c r="E330" s="254"/>
      <c r="F330" s="252" t="s">
        <v>757</v>
      </c>
      <c r="G330" s="257">
        <f>+G336+G342</f>
        <v>84255006</v>
      </c>
      <c r="H330" s="343"/>
      <c r="I330" s="52"/>
      <c r="J330" s="52"/>
    </row>
    <row r="331" spans="1:10" ht="15" customHeight="1" x14ac:dyDescent="0.2">
      <c r="A331" s="254"/>
      <c r="B331" s="266" t="s">
        <v>758</v>
      </c>
      <c r="C331" s="257">
        <f>+C337+C343</f>
        <v>25481324</v>
      </c>
      <c r="D331" s="343"/>
      <c r="E331" s="254"/>
      <c r="F331" s="252" t="s">
        <v>758</v>
      </c>
      <c r="G331" s="257">
        <f>+G337+G343</f>
        <v>186649381</v>
      </c>
      <c r="H331" s="343"/>
      <c r="I331" s="52"/>
      <c r="J331" s="52"/>
    </row>
    <row r="332" spans="1:10" ht="15" customHeight="1" x14ac:dyDescent="0.2">
      <c r="A332" s="254"/>
      <c r="B332" s="266"/>
      <c r="C332" s="257"/>
      <c r="D332" s="343"/>
      <c r="E332" s="254"/>
      <c r="F332" s="252"/>
      <c r="G332" s="257"/>
      <c r="H332" s="343"/>
      <c r="I332" s="52"/>
      <c r="J332" s="52"/>
    </row>
    <row r="333" spans="1:10" ht="15" customHeight="1" x14ac:dyDescent="0.2">
      <c r="A333" s="254"/>
      <c r="B333" s="250" t="s">
        <v>66</v>
      </c>
      <c r="C333" s="251">
        <f>SUM(C334:C337)</f>
        <v>83646297</v>
      </c>
      <c r="D333" s="414"/>
      <c r="E333" s="254"/>
      <c r="F333" s="250" t="s">
        <v>66</v>
      </c>
      <c r="G333" s="251">
        <f>SUM(G334:G337)</f>
        <v>24497702</v>
      </c>
      <c r="H333" s="414"/>
      <c r="I333" s="52"/>
      <c r="J333" s="52"/>
    </row>
    <row r="334" spans="1:10" ht="15" customHeight="1" x14ac:dyDescent="0.2">
      <c r="A334" s="254"/>
      <c r="B334" s="266" t="s">
        <v>68</v>
      </c>
      <c r="C334" s="257">
        <f>+C347+C389+C411+C416</f>
        <v>15553757</v>
      </c>
      <c r="D334" s="343"/>
      <c r="E334" s="254"/>
      <c r="F334" s="252" t="s">
        <v>68</v>
      </c>
      <c r="G334" s="257">
        <f>+G432+G357+G366+G444</f>
        <v>12870558</v>
      </c>
      <c r="H334" s="415"/>
      <c r="I334" s="52"/>
      <c r="J334" s="52"/>
    </row>
    <row r="335" spans="1:10" ht="15" customHeight="1" x14ac:dyDescent="0.2">
      <c r="A335" s="254"/>
      <c r="B335" s="266" t="s">
        <v>112</v>
      </c>
      <c r="C335" s="257"/>
      <c r="D335" s="343"/>
      <c r="E335" s="254"/>
      <c r="F335" s="252" t="s">
        <v>112</v>
      </c>
      <c r="G335" s="257">
        <f>+G389+G398</f>
        <v>1741783</v>
      </c>
      <c r="H335" s="415"/>
      <c r="I335" s="52"/>
      <c r="J335" s="52"/>
    </row>
    <row r="336" spans="1:10" ht="15" customHeight="1" x14ac:dyDescent="0.2">
      <c r="A336" s="254"/>
      <c r="B336" s="266" t="s">
        <v>757</v>
      </c>
      <c r="C336" s="257">
        <f>+C398+C421</f>
        <v>52207109</v>
      </c>
      <c r="D336" s="343"/>
      <c r="E336" s="254"/>
      <c r="F336" s="252" t="s">
        <v>757</v>
      </c>
      <c r="G336" s="257">
        <f>+G390+G431</f>
        <v>7232722</v>
      </c>
      <c r="H336" s="343"/>
      <c r="I336" s="52"/>
      <c r="J336" s="52"/>
    </row>
    <row r="337" spans="1:10" ht="15" customHeight="1" x14ac:dyDescent="0.2">
      <c r="A337" s="254"/>
      <c r="B337" s="266" t="s">
        <v>758</v>
      </c>
      <c r="C337" s="257">
        <f>+C348+C390+C399+C426+C431+C432+C440</f>
        <v>15885431</v>
      </c>
      <c r="D337" s="343"/>
      <c r="E337" s="254"/>
      <c r="F337" s="252" t="s">
        <v>758</v>
      </c>
      <c r="G337" s="257">
        <f>+G347+G358+G440</f>
        <v>2652639</v>
      </c>
      <c r="H337" s="343"/>
      <c r="I337" s="52"/>
      <c r="J337" s="52"/>
    </row>
    <row r="338" spans="1:10" ht="15" customHeight="1" x14ac:dyDescent="0.2">
      <c r="A338" s="254"/>
      <c r="B338" s="252"/>
      <c r="C338" s="257"/>
      <c r="D338" s="343"/>
      <c r="E338" s="254"/>
      <c r="F338" s="252"/>
      <c r="G338" s="257"/>
      <c r="H338" s="343"/>
      <c r="I338" s="52"/>
      <c r="J338" s="52"/>
    </row>
    <row r="339" spans="1:10" ht="15" customHeight="1" x14ac:dyDescent="0.2">
      <c r="A339" s="254"/>
      <c r="B339" s="250" t="s">
        <v>94</v>
      </c>
      <c r="C339" s="251">
        <f>SUM(C340:C343)</f>
        <v>203163737</v>
      </c>
      <c r="D339" s="414"/>
      <c r="E339" s="254"/>
      <c r="F339" s="250" t="s">
        <v>94</v>
      </c>
      <c r="G339" s="251">
        <f>SUM(G340:G343)</f>
        <v>262312332</v>
      </c>
      <c r="H339" s="414"/>
      <c r="I339" s="52"/>
      <c r="J339" s="52"/>
    </row>
    <row r="340" spans="1:10" ht="15" customHeight="1" x14ac:dyDescent="0.2">
      <c r="A340" s="254"/>
      <c r="B340" s="266" t="s">
        <v>68</v>
      </c>
      <c r="C340" s="257">
        <f>+C357+C367+C369+C377+C382+C383+C384+C385+C445</f>
        <v>146535571</v>
      </c>
      <c r="D340" s="415"/>
      <c r="E340" s="254"/>
      <c r="F340" s="252" t="s">
        <v>68</v>
      </c>
      <c r="G340" s="257">
        <f>+G370+G412</f>
        <v>1293306</v>
      </c>
      <c r="H340" s="343"/>
      <c r="I340" s="52"/>
      <c r="J340" s="52"/>
    </row>
    <row r="341" spans="1:10" ht="15" customHeight="1" x14ac:dyDescent="0.2">
      <c r="A341" s="254"/>
      <c r="B341" s="266" t="s">
        <v>790</v>
      </c>
      <c r="C341" s="257">
        <f>C375+C376</f>
        <v>10576515</v>
      </c>
      <c r="D341" s="415"/>
      <c r="E341" s="254"/>
      <c r="F341" s="252"/>
      <c r="G341" s="257"/>
      <c r="H341" s="343"/>
      <c r="I341" s="52"/>
      <c r="J341" s="52"/>
    </row>
    <row r="342" spans="1:10" ht="15" customHeight="1" x14ac:dyDescent="0.2">
      <c r="A342" s="254"/>
      <c r="B342" s="266" t="s">
        <v>757</v>
      </c>
      <c r="C342" s="257">
        <f>+C403+C404+C436</f>
        <v>36455758</v>
      </c>
      <c r="D342" s="414"/>
      <c r="E342" s="254"/>
      <c r="F342" s="252" t="s">
        <v>757</v>
      </c>
      <c r="G342" s="257">
        <f>+G394+G403+G404+G405++G422</f>
        <v>77022284</v>
      </c>
      <c r="H342" s="343"/>
      <c r="I342" s="52"/>
      <c r="J342" s="52"/>
    </row>
    <row r="343" spans="1:10" ht="15" customHeight="1" x14ac:dyDescent="0.2">
      <c r="A343" s="254"/>
      <c r="B343" s="266" t="s">
        <v>758</v>
      </c>
      <c r="C343" s="257">
        <f>+C353</f>
        <v>9595893</v>
      </c>
      <c r="D343" s="343"/>
      <c r="E343" s="254"/>
      <c r="F343" s="252" t="s">
        <v>758</v>
      </c>
      <c r="G343" s="257">
        <f>+G382+G351+G362+G375+G376+G395+G407+G417+G427+G435+G436+G353</f>
        <v>183996742</v>
      </c>
      <c r="H343" s="343"/>
      <c r="I343" s="52"/>
      <c r="J343" s="52"/>
    </row>
    <row r="344" spans="1:10" ht="15" customHeight="1" x14ac:dyDescent="0.2">
      <c r="A344" s="254"/>
      <c r="B344" s="252"/>
      <c r="C344" s="257"/>
      <c r="D344" s="343"/>
      <c r="E344" s="254"/>
      <c r="F344" s="412"/>
      <c r="G344" s="257"/>
      <c r="H344" s="261"/>
      <c r="I344" s="52"/>
      <c r="J344" s="52"/>
    </row>
    <row r="345" spans="1:10" ht="15" customHeight="1" x14ac:dyDescent="0.2">
      <c r="A345" s="252"/>
      <c r="B345" s="370" t="s">
        <v>379</v>
      </c>
      <c r="C345" s="318">
        <f>+C346+C351</f>
        <v>22211045</v>
      </c>
      <c r="D345" s="252"/>
      <c r="E345" s="252"/>
      <c r="F345" s="370" t="s">
        <v>379</v>
      </c>
      <c r="G345" s="318">
        <f>+G346+G349</f>
        <v>22211045</v>
      </c>
      <c r="H345" s="470"/>
      <c r="I345" s="52"/>
      <c r="J345" s="52"/>
    </row>
    <row r="346" spans="1:10" ht="15" customHeight="1" x14ac:dyDescent="0.2">
      <c r="A346" s="252"/>
      <c r="B346" s="250" t="s">
        <v>66</v>
      </c>
      <c r="C346" s="318">
        <f>SUM(C347:C349)</f>
        <v>12615152</v>
      </c>
      <c r="D346" s="252"/>
      <c r="E346" s="252"/>
      <c r="F346" s="250" t="s">
        <v>66</v>
      </c>
      <c r="G346" s="318">
        <f>+G347</f>
        <v>1442912</v>
      </c>
      <c r="H346" s="252"/>
      <c r="I346" s="52"/>
      <c r="J346" s="52"/>
    </row>
    <row r="347" spans="1:10" ht="27" customHeight="1" x14ac:dyDescent="0.2">
      <c r="A347" s="254">
        <v>579</v>
      </c>
      <c r="B347" s="266" t="s">
        <v>311</v>
      </c>
      <c r="C347" s="340">
        <v>2977070</v>
      </c>
      <c r="D347" s="252" t="s">
        <v>68</v>
      </c>
      <c r="E347" s="254">
        <v>579</v>
      </c>
      <c r="F347" s="266" t="s">
        <v>311</v>
      </c>
      <c r="G347" s="416">
        <v>1442912</v>
      </c>
      <c r="H347" s="471" t="s">
        <v>381</v>
      </c>
      <c r="I347" s="52"/>
      <c r="J347" s="52"/>
    </row>
    <row r="348" spans="1:10" ht="24.75" customHeight="1" x14ac:dyDescent="0.2">
      <c r="A348" s="254">
        <v>579</v>
      </c>
      <c r="B348" s="266" t="s">
        <v>311</v>
      </c>
      <c r="C348" s="417">
        <v>9638082</v>
      </c>
      <c r="D348" s="252" t="s">
        <v>309</v>
      </c>
      <c r="E348" s="418"/>
      <c r="F348" s="252"/>
      <c r="G348" s="318"/>
      <c r="H348" s="470"/>
      <c r="I348" s="52"/>
      <c r="J348" s="52"/>
    </row>
    <row r="349" spans="1:10" ht="15" customHeight="1" x14ac:dyDescent="0.2">
      <c r="A349" s="254"/>
      <c r="B349" s="252"/>
      <c r="C349" s="417"/>
      <c r="D349" s="252"/>
      <c r="E349" s="418"/>
      <c r="F349" s="250" t="s">
        <v>94</v>
      </c>
      <c r="G349" s="318">
        <f>+G350+G352</f>
        <v>20768133</v>
      </c>
      <c r="H349" s="470"/>
      <c r="I349" s="52"/>
      <c r="J349" s="52"/>
    </row>
    <row r="350" spans="1:10" ht="15" customHeight="1" x14ac:dyDescent="0.2">
      <c r="A350" s="252"/>
      <c r="B350" s="252"/>
      <c r="C350" s="340"/>
      <c r="D350" s="252"/>
      <c r="E350" s="252"/>
      <c r="F350" s="250" t="s">
        <v>73</v>
      </c>
      <c r="G350" s="318">
        <f>+G351</f>
        <v>12858051</v>
      </c>
      <c r="H350" s="470"/>
      <c r="I350" s="52"/>
      <c r="J350" s="52"/>
    </row>
    <row r="351" spans="1:10" ht="25.5" x14ac:dyDescent="0.2">
      <c r="A351" s="252"/>
      <c r="B351" s="250" t="s">
        <v>94</v>
      </c>
      <c r="C351" s="318">
        <f>+C352+C371</f>
        <v>9595893</v>
      </c>
      <c r="D351" s="252"/>
      <c r="E351" s="252"/>
      <c r="F351" s="259" t="s">
        <v>388</v>
      </c>
      <c r="G351" s="416">
        <v>12858051</v>
      </c>
      <c r="H351" s="471" t="s">
        <v>381</v>
      </c>
      <c r="I351" s="52"/>
      <c r="J351" s="52"/>
    </row>
    <row r="352" spans="1:10" ht="27.75" customHeight="1" x14ac:dyDescent="0.25">
      <c r="A352" s="252"/>
      <c r="B352" s="250" t="s">
        <v>73</v>
      </c>
      <c r="C352" s="318">
        <f>+C353</f>
        <v>9595893</v>
      </c>
      <c r="D352" s="252"/>
      <c r="E352" s="252"/>
      <c r="F352" s="419" t="s">
        <v>759</v>
      </c>
      <c r="G352" s="318">
        <f>+G353</f>
        <v>7910082</v>
      </c>
      <c r="H352" s="252"/>
      <c r="I352" s="52"/>
      <c r="J352" s="52"/>
    </row>
    <row r="353" spans="1:10" ht="25.5" customHeight="1" x14ac:dyDescent="0.2">
      <c r="A353" s="252"/>
      <c r="B353" s="266" t="s">
        <v>380</v>
      </c>
      <c r="C353" s="416">
        <v>9595893</v>
      </c>
      <c r="D353" s="252" t="s">
        <v>381</v>
      </c>
      <c r="E353" s="254">
        <v>675</v>
      </c>
      <c r="F353" s="252" t="s">
        <v>760</v>
      </c>
      <c r="G353" s="416">
        <v>7910082</v>
      </c>
      <c r="H353" s="252" t="s">
        <v>309</v>
      </c>
      <c r="I353" s="52"/>
      <c r="J353" s="52"/>
    </row>
    <row r="354" spans="1:10" ht="15" customHeight="1" x14ac:dyDescent="0.2">
      <c r="A354" s="252"/>
      <c r="B354" s="259"/>
      <c r="C354" s="416"/>
      <c r="D354" s="252"/>
      <c r="E354" s="252"/>
      <c r="F354" s="252"/>
      <c r="G354" s="252"/>
      <c r="H354" s="252"/>
      <c r="I354" s="52"/>
      <c r="J354" s="52"/>
    </row>
    <row r="355" spans="1:10" ht="15" customHeight="1" x14ac:dyDescent="0.2">
      <c r="A355" s="252"/>
      <c r="B355" s="370" t="s">
        <v>355</v>
      </c>
      <c r="C355" s="318">
        <f>+C356+C361</f>
        <v>1773382</v>
      </c>
      <c r="D355" s="252"/>
      <c r="E355" s="252"/>
      <c r="F355" s="370" t="s">
        <v>355</v>
      </c>
      <c r="G355" s="318">
        <f>+G356+G360</f>
        <v>1773382</v>
      </c>
      <c r="H355" s="470"/>
      <c r="I355" s="52"/>
      <c r="J355" s="52"/>
    </row>
    <row r="356" spans="1:10" ht="15" customHeight="1" x14ac:dyDescent="0.2">
      <c r="A356" s="252"/>
      <c r="B356" s="250" t="s">
        <v>94</v>
      </c>
      <c r="C356" s="318">
        <f>SUM(C357:C358)</f>
        <v>1773382</v>
      </c>
      <c r="D356" s="252"/>
      <c r="E356" s="252"/>
      <c r="F356" s="250" t="s">
        <v>66</v>
      </c>
      <c r="G356" s="318">
        <f>+G357+G358</f>
        <v>1284902</v>
      </c>
      <c r="H356" s="252"/>
      <c r="I356" s="52"/>
      <c r="J356" s="52"/>
    </row>
    <row r="357" spans="1:10" ht="24.75" customHeight="1" x14ac:dyDescent="0.2">
      <c r="A357" s="254">
        <v>679</v>
      </c>
      <c r="B357" s="266" t="s">
        <v>761</v>
      </c>
      <c r="C357" s="348">
        <v>1773382</v>
      </c>
      <c r="D357" s="252" t="s">
        <v>68</v>
      </c>
      <c r="E357" s="254">
        <v>579</v>
      </c>
      <c r="F357" s="266" t="s">
        <v>311</v>
      </c>
      <c r="G357" s="416">
        <v>339496</v>
      </c>
      <c r="H357" s="471" t="s">
        <v>68</v>
      </c>
      <c r="I357" s="52"/>
      <c r="J357" s="52"/>
    </row>
    <row r="358" spans="1:10" ht="27" customHeight="1" x14ac:dyDescent="0.2">
      <c r="A358" s="254"/>
      <c r="B358" s="252"/>
      <c r="C358" s="417"/>
      <c r="D358" s="252"/>
      <c r="E358" s="254">
        <v>579</v>
      </c>
      <c r="F358" s="266" t="s">
        <v>311</v>
      </c>
      <c r="G358" s="274">
        <v>945406</v>
      </c>
      <c r="H358" s="471" t="s">
        <v>381</v>
      </c>
      <c r="I358" s="52"/>
      <c r="J358" s="52"/>
    </row>
    <row r="359" spans="1:10" ht="15" customHeight="1" x14ac:dyDescent="0.2">
      <c r="A359" s="254"/>
      <c r="B359" s="252"/>
      <c r="C359" s="417"/>
      <c r="D359" s="252"/>
      <c r="E359" s="254"/>
      <c r="F359" s="252"/>
      <c r="G359" s="274"/>
      <c r="H359" s="471"/>
      <c r="I359" s="52"/>
      <c r="J359" s="52"/>
    </row>
    <row r="360" spans="1:10" ht="15" customHeight="1" x14ac:dyDescent="0.2">
      <c r="A360" s="252"/>
      <c r="B360" s="252"/>
      <c r="C360" s="340"/>
      <c r="D360" s="252"/>
      <c r="E360" s="418"/>
      <c r="F360" s="250" t="s">
        <v>94</v>
      </c>
      <c r="G360" s="318">
        <f>+G361</f>
        <v>488480</v>
      </c>
      <c r="H360" s="470"/>
      <c r="I360" s="52"/>
      <c r="J360" s="52"/>
    </row>
    <row r="361" spans="1:10" ht="15" customHeight="1" x14ac:dyDescent="0.2">
      <c r="A361" s="252"/>
      <c r="B361" s="250"/>
      <c r="C361" s="318"/>
      <c r="D361" s="252"/>
      <c r="E361" s="252"/>
      <c r="F361" s="250" t="s">
        <v>632</v>
      </c>
      <c r="G361" s="318">
        <f>+G362</f>
        <v>488480</v>
      </c>
      <c r="H361" s="470"/>
      <c r="I361" s="52"/>
      <c r="J361" s="52"/>
    </row>
    <row r="362" spans="1:10" ht="15" customHeight="1" x14ac:dyDescent="0.2">
      <c r="A362" s="252"/>
      <c r="B362" s="250"/>
      <c r="C362" s="318"/>
      <c r="D362" s="252"/>
      <c r="E362" s="254">
        <v>679</v>
      </c>
      <c r="F362" s="259" t="s">
        <v>349</v>
      </c>
      <c r="G362" s="417">
        <v>488480</v>
      </c>
      <c r="H362" s="471" t="s">
        <v>381</v>
      </c>
      <c r="I362" s="52"/>
      <c r="J362" s="52"/>
    </row>
    <row r="363" spans="1:10" ht="11.25" customHeight="1" x14ac:dyDescent="0.2">
      <c r="A363" s="252"/>
      <c r="B363" s="259"/>
      <c r="C363" s="416"/>
      <c r="D363" s="252"/>
      <c r="E363" s="252"/>
      <c r="F363" s="252"/>
      <c r="G363" s="252"/>
      <c r="H363" s="252"/>
      <c r="I363" s="52"/>
      <c r="J363" s="52"/>
    </row>
    <row r="364" spans="1:10" ht="15" customHeight="1" x14ac:dyDescent="0.2">
      <c r="A364" s="252"/>
      <c r="B364" s="370" t="s">
        <v>356</v>
      </c>
      <c r="C364" s="318">
        <f>+C365</f>
        <v>5305432</v>
      </c>
      <c r="D364" s="252"/>
      <c r="E364" s="252"/>
      <c r="F364" s="370" t="s">
        <v>356</v>
      </c>
      <c r="G364" s="318">
        <f>+G365+G368</f>
        <v>5305432</v>
      </c>
      <c r="H364" s="470"/>
      <c r="I364" s="52"/>
      <c r="J364" s="52"/>
    </row>
    <row r="365" spans="1:10" ht="15" customHeight="1" x14ac:dyDescent="0.2">
      <c r="A365" s="252"/>
      <c r="B365" s="250" t="s">
        <v>94</v>
      </c>
      <c r="C365" s="318">
        <f>+C366+C368</f>
        <v>5305432</v>
      </c>
      <c r="D365" s="252"/>
      <c r="E365" s="252"/>
      <c r="F365" s="250" t="s">
        <v>66</v>
      </c>
      <c r="G365" s="318">
        <f>+G366+G371</f>
        <v>4506126</v>
      </c>
      <c r="H365" s="252"/>
      <c r="I365" s="52"/>
      <c r="J365" s="52"/>
    </row>
    <row r="366" spans="1:10" ht="26.25" customHeight="1" x14ac:dyDescent="0.2">
      <c r="A366" s="252"/>
      <c r="B366" s="250" t="s">
        <v>73</v>
      </c>
      <c r="C366" s="397">
        <f>+C367</f>
        <v>799306</v>
      </c>
      <c r="D366" s="252"/>
      <c r="E366" s="254">
        <v>579</v>
      </c>
      <c r="F366" s="266" t="s">
        <v>311</v>
      </c>
      <c r="G366" s="416">
        <v>4506126</v>
      </c>
      <c r="H366" s="471" t="s">
        <v>68</v>
      </c>
      <c r="I366" s="52"/>
      <c r="J366" s="52"/>
    </row>
    <row r="367" spans="1:10" ht="27.75" customHeight="1" x14ac:dyDescent="0.2">
      <c r="A367" s="252"/>
      <c r="B367" s="259" t="s">
        <v>762</v>
      </c>
      <c r="C367" s="390">
        <v>799306</v>
      </c>
      <c r="D367" s="252" t="s">
        <v>68</v>
      </c>
      <c r="E367" s="252"/>
      <c r="F367" s="252"/>
      <c r="G367" s="252"/>
      <c r="H367" s="252"/>
      <c r="I367" s="52"/>
      <c r="J367" s="52"/>
    </row>
    <row r="368" spans="1:10" ht="15" customHeight="1" x14ac:dyDescent="0.2">
      <c r="A368" s="252"/>
      <c r="B368" s="250" t="s">
        <v>632</v>
      </c>
      <c r="C368" s="318">
        <f>+C369</f>
        <v>4506126</v>
      </c>
      <c r="D368" s="252"/>
      <c r="E368" s="252"/>
      <c r="F368" s="250" t="s">
        <v>94</v>
      </c>
      <c r="G368" s="318">
        <f>+G369</f>
        <v>799306</v>
      </c>
      <c r="H368" s="252"/>
      <c r="I368" s="52"/>
      <c r="J368" s="52"/>
    </row>
    <row r="369" spans="1:10" ht="15" customHeight="1" x14ac:dyDescent="0.2">
      <c r="A369" s="254">
        <v>679</v>
      </c>
      <c r="B369" s="252" t="s">
        <v>761</v>
      </c>
      <c r="C369" s="348">
        <v>4506126</v>
      </c>
      <c r="D369" s="252" t="s">
        <v>68</v>
      </c>
      <c r="E369" s="300"/>
      <c r="F369" s="250" t="s">
        <v>763</v>
      </c>
      <c r="G369" s="397">
        <f>+G370</f>
        <v>799306</v>
      </c>
      <c r="H369" s="252"/>
      <c r="I369" s="52"/>
      <c r="J369" s="52"/>
    </row>
    <row r="370" spans="1:10" ht="15" customHeight="1" x14ac:dyDescent="0.2">
      <c r="A370" s="252"/>
      <c r="B370" s="252"/>
      <c r="C370" s="252"/>
      <c r="D370" s="252"/>
      <c r="E370" s="254">
        <v>675</v>
      </c>
      <c r="F370" s="252" t="s">
        <v>760</v>
      </c>
      <c r="G370" s="390">
        <v>799306</v>
      </c>
      <c r="H370" s="471" t="s">
        <v>68</v>
      </c>
      <c r="I370" s="52"/>
      <c r="J370" s="52"/>
    </row>
    <row r="371" spans="1:10" ht="10.5" customHeight="1" x14ac:dyDescent="0.2">
      <c r="A371" s="254"/>
      <c r="B371" s="252"/>
      <c r="C371" s="417"/>
      <c r="D371" s="252"/>
      <c r="E371" s="254"/>
      <c r="F371" s="252"/>
      <c r="G371" s="274"/>
      <c r="H371" s="471"/>
      <c r="I371" s="52"/>
      <c r="J371" s="52"/>
    </row>
    <row r="372" spans="1:10" ht="15" customHeight="1" x14ac:dyDescent="0.2">
      <c r="A372" s="254"/>
      <c r="B372" s="250" t="s">
        <v>357</v>
      </c>
      <c r="C372" s="420">
        <f>+C373</f>
        <v>122042932</v>
      </c>
      <c r="D372" s="252"/>
      <c r="E372" s="254"/>
      <c r="F372" s="250" t="s">
        <v>357</v>
      </c>
      <c r="G372" s="318">
        <f>+G373</f>
        <v>122042932</v>
      </c>
      <c r="H372" s="471"/>
      <c r="I372" s="54">
        <f>+C372-G372</f>
        <v>0</v>
      </c>
      <c r="J372" s="52"/>
    </row>
    <row r="373" spans="1:10" ht="15" customHeight="1" x14ac:dyDescent="0.2">
      <c r="A373" s="252"/>
      <c r="B373" s="250" t="s">
        <v>94</v>
      </c>
      <c r="C373" s="318">
        <f>+C374</f>
        <v>122042932</v>
      </c>
      <c r="D373" s="252"/>
      <c r="E373" s="418"/>
      <c r="F373" s="250" t="s">
        <v>94</v>
      </c>
      <c r="G373" s="318">
        <f>+G374</f>
        <v>122042932</v>
      </c>
      <c r="H373" s="470"/>
      <c r="I373" s="52"/>
      <c r="J373" s="52"/>
    </row>
    <row r="374" spans="1:10" ht="15" customHeight="1" x14ac:dyDescent="0.2">
      <c r="A374" s="252"/>
      <c r="B374" s="250" t="s">
        <v>73</v>
      </c>
      <c r="C374" s="318">
        <f>SUM(C375:C377)</f>
        <v>122042932</v>
      </c>
      <c r="D374" s="252"/>
      <c r="E374" s="252"/>
      <c r="F374" s="250" t="s">
        <v>73</v>
      </c>
      <c r="G374" s="318">
        <f>+G375+G376</f>
        <v>122042932</v>
      </c>
      <c r="H374" s="470"/>
      <c r="I374" s="52"/>
      <c r="J374" s="52"/>
    </row>
    <row r="375" spans="1:10" ht="37.5" customHeight="1" x14ac:dyDescent="0.2">
      <c r="A375" s="252"/>
      <c r="B375" s="259" t="s">
        <v>764</v>
      </c>
      <c r="C375" s="421">
        <v>6707995</v>
      </c>
      <c r="D375" s="278" t="s">
        <v>790</v>
      </c>
      <c r="E375" s="254"/>
      <c r="F375" s="259" t="s">
        <v>765</v>
      </c>
      <c r="G375" s="417">
        <v>83255316</v>
      </c>
      <c r="H375" s="471" t="s">
        <v>667</v>
      </c>
      <c r="I375" s="52"/>
      <c r="J375" s="52"/>
    </row>
    <row r="376" spans="1:10" ht="27.75" customHeight="1" x14ac:dyDescent="0.2">
      <c r="A376" s="252"/>
      <c r="B376" s="259" t="s">
        <v>766</v>
      </c>
      <c r="C376" s="422">
        <v>3868520</v>
      </c>
      <c r="D376" s="278" t="s">
        <v>790</v>
      </c>
      <c r="E376" s="243"/>
      <c r="F376" s="259" t="s">
        <v>767</v>
      </c>
      <c r="G376" s="417">
        <v>38787616</v>
      </c>
      <c r="H376" s="471" t="s">
        <v>667</v>
      </c>
      <c r="I376" s="52"/>
      <c r="J376" s="52"/>
    </row>
    <row r="377" spans="1:10" ht="26.25" customHeight="1" x14ac:dyDescent="0.2">
      <c r="A377" s="243"/>
      <c r="B377" s="259" t="s">
        <v>768</v>
      </c>
      <c r="C377" s="422">
        <v>111466417</v>
      </c>
      <c r="D377" s="263" t="s">
        <v>68</v>
      </c>
      <c r="E377" s="243"/>
      <c r="F377" s="259"/>
      <c r="G377" s="423"/>
      <c r="H377" s="243"/>
      <c r="I377" s="52"/>
      <c r="J377" s="52"/>
    </row>
    <row r="378" spans="1:10" ht="8.25" customHeight="1" x14ac:dyDescent="0.25">
      <c r="A378" s="252"/>
      <c r="B378" s="332"/>
      <c r="C378" s="424"/>
      <c r="D378" s="252"/>
      <c r="E378" s="243"/>
      <c r="F378" s="332"/>
      <c r="G378" s="425"/>
      <c r="H378" s="243"/>
      <c r="I378" s="52"/>
      <c r="J378" s="52"/>
    </row>
    <row r="379" spans="1:10" ht="29.25" customHeight="1" x14ac:dyDescent="0.2">
      <c r="A379" s="252"/>
      <c r="B379" s="426" t="s">
        <v>769</v>
      </c>
      <c r="C379" s="318">
        <f>+C380</f>
        <v>27496340</v>
      </c>
      <c r="D379" s="252"/>
      <c r="E379" s="243"/>
      <c r="F379" s="426" t="s">
        <v>769</v>
      </c>
      <c r="G379" s="397">
        <f>+G380</f>
        <v>27496340</v>
      </c>
      <c r="H379" s="243"/>
      <c r="I379" s="52"/>
      <c r="J379" s="52"/>
    </row>
    <row r="380" spans="1:10" ht="15" customHeight="1" x14ac:dyDescent="0.2">
      <c r="A380" s="252"/>
      <c r="B380" s="250" t="s">
        <v>94</v>
      </c>
      <c r="C380" s="318">
        <f>+C381</f>
        <v>27496340</v>
      </c>
      <c r="D380" s="252"/>
      <c r="E380" s="243"/>
      <c r="F380" s="250" t="s">
        <v>94</v>
      </c>
      <c r="G380" s="318">
        <f>+G381</f>
        <v>27496340</v>
      </c>
      <c r="H380" s="243"/>
      <c r="I380" s="52"/>
      <c r="J380" s="52"/>
    </row>
    <row r="381" spans="1:10" ht="15" customHeight="1" x14ac:dyDescent="0.2">
      <c r="A381" s="254"/>
      <c r="B381" s="250" t="s">
        <v>73</v>
      </c>
      <c r="C381" s="318">
        <f>SUM(C382:C385)</f>
        <v>27496340</v>
      </c>
      <c r="D381" s="252"/>
      <c r="E381" s="252"/>
      <c r="F381" s="250" t="s">
        <v>73</v>
      </c>
      <c r="G381" s="318">
        <f>+G382</f>
        <v>27496340</v>
      </c>
      <c r="H381" s="252"/>
      <c r="I381" s="52"/>
      <c r="J381" s="52"/>
    </row>
    <row r="382" spans="1:10" ht="33.75" customHeight="1" x14ac:dyDescent="0.2">
      <c r="A382" s="254"/>
      <c r="B382" s="259" t="s">
        <v>770</v>
      </c>
      <c r="C382" s="421">
        <v>14950000</v>
      </c>
      <c r="D382" s="263" t="s">
        <v>68</v>
      </c>
      <c r="E382" s="252"/>
      <c r="F382" s="259" t="s">
        <v>771</v>
      </c>
      <c r="G382" s="421">
        <v>27496340</v>
      </c>
      <c r="H382" s="252" t="s">
        <v>309</v>
      </c>
      <c r="I382" s="52"/>
      <c r="J382" s="52"/>
    </row>
    <row r="383" spans="1:10" ht="51" x14ac:dyDescent="0.2">
      <c r="A383" s="252"/>
      <c r="B383" s="259" t="s">
        <v>772</v>
      </c>
      <c r="C383" s="389">
        <v>5245000</v>
      </c>
      <c r="D383" s="263" t="s">
        <v>68</v>
      </c>
      <c r="E383" s="243"/>
      <c r="F383" s="259"/>
      <c r="G383" s="390"/>
      <c r="H383" s="252"/>
      <c r="I383" s="52"/>
      <c r="J383" s="52"/>
    </row>
    <row r="384" spans="1:10" ht="51" x14ac:dyDescent="0.2">
      <c r="A384" s="252"/>
      <c r="B384" s="259" t="s">
        <v>773</v>
      </c>
      <c r="C384" s="389">
        <v>5245000</v>
      </c>
      <c r="D384" s="263" t="s">
        <v>68</v>
      </c>
      <c r="E384" s="243"/>
      <c r="F384" s="259"/>
      <c r="G384" s="390"/>
      <c r="H384" s="252"/>
      <c r="I384" s="52"/>
      <c r="J384" s="52"/>
    </row>
    <row r="385" spans="1:10" ht="51" x14ac:dyDescent="0.2">
      <c r="A385" s="252"/>
      <c r="B385" s="259" t="s">
        <v>774</v>
      </c>
      <c r="C385" s="264">
        <v>2056340</v>
      </c>
      <c r="D385" s="263" t="s">
        <v>68</v>
      </c>
      <c r="E385" s="243"/>
      <c r="F385" s="259"/>
      <c r="G385" s="257"/>
      <c r="H385" s="252"/>
      <c r="I385" s="52"/>
      <c r="J385" s="52"/>
    </row>
    <row r="386" spans="1:10" ht="9" customHeight="1" x14ac:dyDescent="0.25">
      <c r="A386" s="252"/>
      <c r="B386" s="252"/>
      <c r="C386" s="252"/>
      <c r="D386" s="252"/>
      <c r="E386" s="243"/>
      <c r="F386" s="419"/>
      <c r="G386" s="252"/>
      <c r="H386" s="252"/>
      <c r="I386" s="52"/>
      <c r="J386" s="52"/>
    </row>
    <row r="387" spans="1:10" ht="15" customHeight="1" x14ac:dyDescent="0.2">
      <c r="A387" s="243"/>
      <c r="B387" s="281" t="s">
        <v>383</v>
      </c>
      <c r="C387" s="318">
        <f>+C388+C392</f>
        <v>4864858</v>
      </c>
      <c r="D387" s="252"/>
      <c r="E387" s="243"/>
      <c r="F387" s="281" t="s">
        <v>383</v>
      </c>
      <c r="G387" s="318">
        <f>+G388+G392</f>
        <v>4864858</v>
      </c>
      <c r="H387" s="252"/>
      <c r="I387" s="52"/>
      <c r="J387" s="52"/>
    </row>
    <row r="388" spans="1:10" ht="15" customHeight="1" x14ac:dyDescent="0.2">
      <c r="A388" s="252"/>
      <c r="B388" s="250" t="s">
        <v>66</v>
      </c>
      <c r="C388" s="318">
        <f>+C389+C390</f>
        <v>4864858</v>
      </c>
      <c r="D388" s="252"/>
      <c r="E388" s="252"/>
      <c r="F388" s="250" t="s">
        <v>66</v>
      </c>
      <c r="G388" s="318">
        <f>+G389+G390</f>
        <v>4858711</v>
      </c>
      <c r="H388" s="252"/>
      <c r="I388" s="52"/>
      <c r="J388" s="52"/>
    </row>
    <row r="389" spans="1:10" ht="27" customHeight="1" x14ac:dyDescent="0.2">
      <c r="A389" s="254">
        <v>579</v>
      </c>
      <c r="B389" s="259" t="s">
        <v>311</v>
      </c>
      <c r="C389" s="257">
        <v>755230</v>
      </c>
      <c r="D389" s="252" t="s">
        <v>68</v>
      </c>
      <c r="E389" s="262">
        <v>579</v>
      </c>
      <c r="F389" s="259" t="s">
        <v>311</v>
      </c>
      <c r="G389" s="264">
        <v>741783</v>
      </c>
      <c r="H389" s="259" t="s">
        <v>671</v>
      </c>
      <c r="I389" s="52"/>
      <c r="J389" s="52"/>
    </row>
    <row r="390" spans="1:10" ht="30" customHeight="1" x14ac:dyDescent="0.2">
      <c r="A390" s="254">
        <v>579</v>
      </c>
      <c r="B390" s="259" t="s">
        <v>311</v>
      </c>
      <c r="C390" s="390">
        <v>4109628</v>
      </c>
      <c r="D390" s="252" t="s">
        <v>775</v>
      </c>
      <c r="E390" s="254">
        <v>579</v>
      </c>
      <c r="F390" s="259" t="s">
        <v>311</v>
      </c>
      <c r="G390" s="390">
        <v>4116928</v>
      </c>
      <c r="H390" s="252" t="s">
        <v>98</v>
      </c>
      <c r="I390" s="52"/>
      <c r="J390" s="52"/>
    </row>
    <row r="391" spans="1:10" ht="15" customHeight="1" x14ac:dyDescent="0.2">
      <c r="A391" s="252"/>
      <c r="B391" s="252"/>
      <c r="C391" s="252"/>
      <c r="D391" s="252"/>
      <c r="E391" s="252"/>
      <c r="F391" s="252"/>
      <c r="G391" s="252"/>
      <c r="H391" s="252"/>
      <c r="I391" s="52"/>
      <c r="J391" s="52"/>
    </row>
    <row r="392" spans="1:10" ht="15" customHeight="1" x14ac:dyDescent="0.2">
      <c r="A392" s="252"/>
      <c r="B392" s="250"/>
      <c r="C392" s="397"/>
      <c r="D392" s="243"/>
      <c r="E392" s="252"/>
      <c r="F392" s="250" t="s">
        <v>94</v>
      </c>
      <c r="G392" s="397">
        <f>+G393</f>
        <v>6147</v>
      </c>
      <c r="H392" s="243"/>
      <c r="I392" s="52"/>
      <c r="J392" s="52"/>
    </row>
    <row r="393" spans="1:10" ht="15.75" customHeight="1" x14ac:dyDescent="0.2">
      <c r="A393" s="252"/>
      <c r="B393" s="250"/>
      <c r="C393" s="397"/>
      <c r="D393" s="390"/>
      <c r="E393" s="252"/>
      <c r="F393" s="250" t="s">
        <v>73</v>
      </c>
      <c r="G393" s="397">
        <f>+G394+G395</f>
        <v>6147</v>
      </c>
      <c r="H393" s="390"/>
      <c r="I393" s="52"/>
      <c r="J393" s="52"/>
    </row>
    <row r="394" spans="1:10" ht="29.25" customHeight="1" x14ac:dyDescent="0.2">
      <c r="A394" s="252"/>
      <c r="B394" s="259"/>
      <c r="C394" s="390"/>
      <c r="D394" s="252"/>
      <c r="E394" s="252"/>
      <c r="F394" s="259" t="s">
        <v>776</v>
      </c>
      <c r="G394" s="390">
        <v>6147</v>
      </c>
      <c r="H394" s="252" t="s">
        <v>98</v>
      </c>
      <c r="I394" s="52"/>
      <c r="J394" s="52"/>
    </row>
    <row r="395" spans="1:10" ht="15" customHeight="1" x14ac:dyDescent="0.2">
      <c r="A395" s="252"/>
      <c r="B395" s="259"/>
      <c r="C395" s="390"/>
      <c r="D395" s="252"/>
      <c r="E395" s="252"/>
      <c r="F395" s="259"/>
      <c r="G395" s="390"/>
      <c r="H395" s="252"/>
      <c r="I395" s="52"/>
      <c r="J395" s="52"/>
    </row>
    <row r="396" spans="1:10" ht="15" customHeight="1" x14ac:dyDescent="0.2">
      <c r="A396" s="252"/>
      <c r="B396" s="427" t="s">
        <v>363</v>
      </c>
      <c r="C396" s="397">
        <f>+C397+C401</f>
        <v>27809028</v>
      </c>
      <c r="D396" s="390"/>
      <c r="E396" s="252"/>
      <c r="F396" s="427" t="s">
        <v>363</v>
      </c>
      <c r="G396" s="397">
        <f>+G397+G401</f>
        <v>27809028</v>
      </c>
      <c r="H396" s="390"/>
      <c r="I396" s="52"/>
      <c r="J396" s="52"/>
    </row>
    <row r="397" spans="1:10" ht="15" customHeight="1" x14ac:dyDescent="0.2">
      <c r="A397" s="252"/>
      <c r="B397" s="250" t="s">
        <v>66</v>
      </c>
      <c r="C397" s="397">
        <f>+C398+C399</f>
        <v>2000000</v>
      </c>
      <c r="D397" s="243"/>
      <c r="E397" s="252"/>
      <c r="F397" s="250" t="s">
        <v>66</v>
      </c>
      <c r="G397" s="397">
        <f>+G398</f>
        <v>1000000</v>
      </c>
      <c r="H397" s="243"/>
      <c r="I397" s="52"/>
      <c r="J397" s="52"/>
    </row>
    <row r="398" spans="1:10" ht="25.5" customHeight="1" x14ac:dyDescent="0.2">
      <c r="A398" s="254">
        <v>579</v>
      </c>
      <c r="B398" s="259" t="s">
        <v>311</v>
      </c>
      <c r="C398" s="390">
        <v>1000000</v>
      </c>
      <c r="D398" s="390" t="s">
        <v>79</v>
      </c>
      <c r="E398" s="262">
        <v>579</v>
      </c>
      <c r="F398" s="259" t="s">
        <v>311</v>
      </c>
      <c r="G398" s="389">
        <v>1000000</v>
      </c>
      <c r="H398" s="259" t="s">
        <v>112</v>
      </c>
      <c r="I398" s="52"/>
      <c r="J398" s="52"/>
    </row>
    <row r="399" spans="1:10" ht="25.5" customHeight="1" x14ac:dyDescent="0.2">
      <c r="A399" s="254">
        <v>579</v>
      </c>
      <c r="B399" s="259" t="s">
        <v>311</v>
      </c>
      <c r="C399" s="390">
        <v>1000000</v>
      </c>
      <c r="D399" s="390" t="s">
        <v>359</v>
      </c>
      <c r="E399" s="252"/>
      <c r="F399" s="259"/>
      <c r="G399" s="252"/>
      <c r="H399" s="252"/>
      <c r="I399" s="52"/>
      <c r="J399" s="52"/>
    </row>
    <row r="400" spans="1:10" ht="12" customHeight="1" x14ac:dyDescent="0.2">
      <c r="A400" s="254"/>
      <c r="B400" s="252"/>
      <c r="C400" s="390"/>
      <c r="D400" s="390"/>
      <c r="E400" s="254"/>
      <c r="F400" s="252"/>
      <c r="G400" s="390"/>
      <c r="H400" s="259"/>
      <c r="I400" s="52"/>
      <c r="J400" s="52"/>
    </row>
    <row r="401" spans="1:10" ht="21" customHeight="1" x14ac:dyDescent="0.2">
      <c r="A401" s="252"/>
      <c r="B401" s="427" t="s">
        <v>94</v>
      </c>
      <c r="C401" s="428">
        <f>+C402</f>
        <v>25809028</v>
      </c>
      <c r="D401" s="252"/>
      <c r="E401" s="243"/>
      <c r="F401" s="427" t="s">
        <v>94</v>
      </c>
      <c r="G401" s="428">
        <f>+G402+G406</f>
        <v>26809028</v>
      </c>
      <c r="H401" s="252"/>
      <c r="I401" s="52"/>
      <c r="J401" s="52"/>
    </row>
    <row r="402" spans="1:10" ht="21" customHeight="1" x14ac:dyDescent="0.2">
      <c r="A402" s="252"/>
      <c r="B402" s="427" t="s">
        <v>73</v>
      </c>
      <c r="C402" s="428">
        <f>+C403+C404</f>
        <v>25809028</v>
      </c>
      <c r="D402" s="252"/>
      <c r="E402" s="243"/>
      <c r="F402" s="427" t="s">
        <v>73</v>
      </c>
      <c r="G402" s="428">
        <f>+G403+G404+G405</f>
        <v>25809028</v>
      </c>
      <c r="H402" s="252"/>
      <c r="I402" s="52"/>
      <c r="J402" s="52"/>
    </row>
    <row r="403" spans="1:10" ht="25.5" customHeight="1" x14ac:dyDescent="0.2">
      <c r="A403" s="254"/>
      <c r="B403" s="259" t="s">
        <v>777</v>
      </c>
      <c r="C403" s="389">
        <v>21321428</v>
      </c>
      <c r="D403" s="278" t="s">
        <v>778</v>
      </c>
      <c r="E403" s="254"/>
      <c r="F403" s="259" t="s">
        <v>779</v>
      </c>
      <c r="G403" s="390">
        <v>20801428</v>
      </c>
      <c r="H403" s="259" t="s">
        <v>80</v>
      </c>
      <c r="I403" s="52"/>
      <c r="J403" s="52"/>
    </row>
    <row r="404" spans="1:10" ht="25.5" customHeight="1" x14ac:dyDescent="0.2">
      <c r="A404" s="254"/>
      <c r="B404" s="259" t="s">
        <v>780</v>
      </c>
      <c r="C404" s="389">
        <v>4487600</v>
      </c>
      <c r="D404" s="278" t="s">
        <v>778</v>
      </c>
      <c r="E404" s="254"/>
      <c r="F404" s="259" t="s">
        <v>781</v>
      </c>
      <c r="G404" s="390">
        <v>520000</v>
      </c>
      <c r="H404" s="259" t="s">
        <v>80</v>
      </c>
      <c r="I404" s="52"/>
      <c r="J404" s="52"/>
    </row>
    <row r="405" spans="1:10" ht="25.5" customHeight="1" x14ac:dyDescent="0.2">
      <c r="A405" s="252"/>
      <c r="B405" s="252"/>
      <c r="C405" s="305"/>
      <c r="D405" s="252"/>
      <c r="E405" s="254"/>
      <c r="F405" s="259" t="s">
        <v>782</v>
      </c>
      <c r="G405" s="390">
        <v>4487600</v>
      </c>
      <c r="H405" s="259" t="s">
        <v>583</v>
      </c>
      <c r="I405" s="52"/>
      <c r="J405" s="52"/>
    </row>
    <row r="406" spans="1:10" ht="25.5" customHeight="1" x14ac:dyDescent="0.2">
      <c r="A406" s="252"/>
      <c r="B406" s="252"/>
      <c r="C406" s="305"/>
      <c r="D406" s="252"/>
      <c r="E406" s="254"/>
      <c r="F406" s="250" t="s">
        <v>632</v>
      </c>
      <c r="G406" s="397">
        <f>+G407</f>
        <v>1000000</v>
      </c>
      <c r="H406" s="259"/>
      <c r="I406" s="52"/>
      <c r="J406" s="52"/>
    </row>
    <row r="407" spans="1:10" ht="15" customHeight="1" x14ac:dyDescent="0.2">
      <c r="A407" s="254"/>
      <c r="B407" s="252"/>
      <c r="C407" s="390"/>
      <c r="D407" s="390"/>
      <c r="E407" s="254">
        <v>675</v>
      </c>
      <c r="F407" s="252" t="s">
        <v>760</v>
      </c>
      <c r="G407" s="390">
        <v>1000000</v>
      </c>
      <c r="H407" s="259" t="s">
        <v>359</v>
      </c>
      <c r="I407" s="52"/>
      <c r="J407" s="52"/>
    </row>
    <row r="408" spans="1:10" ht="15" customHeight="1" x14ac:dyDescent="0.2">
      <c r="A408" s="254"/>
      <c r="B408" s="252"/>
      <c r="C408" s="390"/>
      <c r="D408" s="390"/>
      <c r="E408" s="254"/>
      <c r="F408" s="252"/>
      <c r="G408" s="390"/>
      <c r="H408" s="259"/>
      <c r="I408" s="52"/>
      <c r="J408" s="52"/>
    </row>
    <row r="409" spans="1:10" ht="15" customHeight="1" x14ac:dyDescent="0.2">
      <c r="A409" s="429"/>
      <c r="B409" s="281" t="s">
        <v>783</v>
      </c>
      <c r="C409" s="397">
        <f>+C410</f>
        <v>494000</v>
      </c>
      <c r="D409" s="252"/>
      <c r="E409" s="429"/>
      <c r="F409" s="281" t="s">
        <v>783</v>
      </c>
      <c r="G409" s="397">
        <f>+G410</f>
        <v>494000</v>
      </c>
      <c r="H409" s="252"/>
      <c r="I409" s="52"/>
      <c r="J409" s="52"/>
    </row>
    <row r="410" spans="1:10" ht="15" customHeight="1" x14ac:dyDescent="0.2">
      <c r="A410" s="252"/>
      <c r="B410" s="250" t="s">
        <v>66</v>
      </c>
      <c r="C410" s="397">
        <f>+C411</f>
        <v>494000</v>
      </c>
      <c r="D410" s="252"/>
      <c r="E410" s="252"/>
      <c r="F410" s="250" t="s">
        <v>94</v>
      </c>
      <c r="G410" s="397">
        <f>+G411</f>
        <v>494000</v>
      </c>
      <c r="H410" s="252"/>
      <c r="I410" s="52"/>
      <c r="J410" s="52"/>
    </row>
    <row r="411" spans="1:10" ht="27.75" customHeight="1" x14ac:dyDescent="0.2">
      <c r="A411" s="254">
        <v>579</v>
      </c>
      <c r="B411" s="259" t="s">
        <v>311</v>
      </c>
      <c r="C411" s="390">
        <v>494000</v>
      </c>
      <c r="D411" s="252" t="s">
        <v>68</v>
      </c>
      <c r="E411" s="254"/>
      <c r="F411" s="250" t="s">
        <v>632</v>
      </c>
      <c r="G411" s="397">
        <f>+G412</f>
        <v>494000</v>
      </c>
      <c r="H411" s="252"/>
      <c r="I411" s="52"/>
      <c r="J411" s="52"/>
    </row>
    <row r="412" spans="1:10" ht="15" customHeight="1" x14ac:dyDescent="0.2">
      <c r="A412" s="254"/>
      <c r="B412" s="252"/>
      <c r="C412" s="390"/>
      <c r="D412" s="252"/>
      <c r="E412" s="254">
        <v>679</v>
      </c>
      <c r="F412" s="259" t="s">
        <v>349</v>
      </c>
      <c r="G412" s="430">
        <v>494000</v>
      </c>
      <c r="H412" s="252" t="s">
        <v>68</v>
      </c>
      <c r="I412" s="52"/>
      <c r="J412" s="52"/>
    </row>
    <row r="413" spans="1:10" ht="15" customHeight="1" x14ac:dyDescent="0.2">
      <c r="A413" s="429"/>
      <c r="B413" s="259"/>
      <c r="C413" s="390"/>
      <c r="D413" s="252"/>
      <c r="E413" s="254"/>
      <c r="F413" s="259"/>
      <c r="G413" s="430"/>
      <c r="H413" s="472"/>
      <c r="I413" s="52"/>
      <c r="J413" s="52"/>
    </row>
    <row r="414" spans="1:10" ht="15" customHeight="1" x14ac:dyDescent="0.2">
      <c r="A414" s="429"/>
      <c r="B414" s="281" t="s">
        <v>810</v>
      </c>
      <c r="C414" s="397">
        <f>+C415</f>
        <v>11327457</v>
      </c>
      <c r="D414" s="252"/>
      <c r="E414" s="429"/>
      <c r="F414" s="281" t="s">
        <v>810</v>
      </c>
      <c r="G414" s="397">
        <f>+G415</f>
        <v>11327457</v>
      </c>
      <c r="H414" s="252"/>
      <c r="I414" s="52"/>
      <c r="J414" s="52"/>
    </row>
    <row r="415" spans="1:10" ht="15" customHeight="1" x14ac:dyDescent="0.2">
      <c r="A415" s="252"/>
      <c r="B415" s="250" t="s">
        <v>66</v>
      </c>
      <c r="C415" s="397">
        <f>+C416</f>
        <v>11327457</v>
      </c>
      <c r="D415" s="252"/>
      <c r="E415" s="252"/>
      <c r="F415" s="250" t="s">
        <v>94</v>
      </c>
      <c r="G415" s="397">
        <f>+G416</f>
        <v>11327457</v>
      </c>
      <c r="H415" s="252"/>
      <c r="I415" s="52"/>
      <c r="J415" s="52"/>
    </row>
    <row r="416" spans="1:10" ht="15" customHeight="1" x14ac:dyDescent="0.2">
      <c r="A416" s="254">
        <v>561</v>
      </c>
      <c r="B416" s="259" t="s">
        <v>372</v>
      </c>
      <c r="C416" s="390">
        <v>11327457</v>
      </c>
      <c r="D416" s="252" t="s">
        <v>68</v>
      </c>
      <c r="E416" s="254"/>
      <c r="F416" s="250" t="s">
        <v>632</v>
      </c>
      <c r="G416" s="390">
        <f>+G417</f>
        <v>11327457</v>
      </c>
      <c r="H416" s="252"/>
      <c r="I416" s="52"/>
      <c r="J416" s="52"/>
    </row>
    <row r="417" spans="1:10" ht="15" customHeight="1" x14ac:dyDescent="0.2">
      <c r="A417" s="429"/>
      <c r="B417" s="259"/>
      <c r="C417" s="390"/>
      <c r="D417" s="252"/>
      <c r="E417" s="254">
        <v>673</v>
      </c>
      <c r="F417" s="259" t="s">
        <v>784</v>
      </c>
      <c r="G417" s="390">
        <v>11327457</v>
      </c>
      <c r="H417" s="252" t="s">
        <v>309</v>
      </c>
      <c r="I417" s="52"/>
      <c r="J417" s="52"/>
    </row>
    <row r="418" spans="1:10" ht="9" customHeight="1" x14ac:dyDescent="0.2">
      <c r="A418" s="429"/>
      <c r="B418" s="259"/>
      <c r="C418" s="390"/>
      <c r="D418" s="252"/>
      <c r="E418" s="254"/>
      <c r="F418" s="259"/>
      <c r="G418" s="309"/>
      <c r="H418" s="472"/>
      <c r="I418" s="52"/>
      <c r="J418" s="52"/>
    </row>
    <row r="419" spans="1:10" ht="15" customHeight="1" x14ac:dyDescent="0.2">
      <c r="A419" s="429"/>
      <c r="B419" s="281" t="s">
        <v>370</v>
      </c>
      <c r="C419" s="397">
        <f>+C420</f>
        <v>51207109</v>
      </c>
      <c r="D419" s="252"/>
      <c r="E419" s="243"/>
      <c r="F419" s="281" t="s">
        <v>370</v>
      </c>
      <c r="G419" s="397">
        <f>+G420</f>
        <v>51207109</v>
      </c>
      <c r="H419" s="252"/>
      <c r="J419" s="52"/>
    </row>
    <row r="420" spans="1:10" ht="15" customHeight="1" x14ac:dyDescent="0.2">
      <c r="A420" s="252"/>
      <c r="B420" s="250" t="s">
        <v>785</v>
      </c>
      <c r="C420" s="397">
        <f>+C421</f>
        <v>51207109</v>
      </c>
      <c r="D420" s="252"/>
      <c r="E420" s="243"/>
      <c r="F420" s="250" t="s">
        <v>94</v>
      </c>
      <c r="G420" s="397">
        <f>+G422</f>
        <v>51207109</v>
      </c>
      <c r="H420" s="252"/>
      <c r="J420" s="52"/>
    </row>
    <row r="421" spans="1:10" ht="24.75" customHeight="1" x14ac:dyDescent="0.2">
      <c r="A421" s="254">
        <v>579</v>
      </c>
      <c r="B421" s="259" t="s">
        <v>311</v>
      </c>
      <c r="C421" s="390">
        <v>51207109</v>
      </c>
      <c r="D421" s="252" t="s">
        <v>98</v>
      </c>
      <c r="E421" s="243"/>
      <c r="F421" s="250" t="s">
        <v>632</v>
      </c>
      <c r="G421" s="397">
        <f>+G422</f>
        <v>51207109</v>
      </c>
      <c r="H421" s="243"/>
      <c r="J421" s="52"/>
    </row>
    <row r="422" spans="1:10" ht="19.5" customHeight="1" x14ac:dyDescent="0.2">
      <c r="A422" s="252"/>
      <c r="B422" s="252"/>
      <c r="C422" s="252"/>
      <c r="D422" s="252"/>
      <c r="E422" s="254">
        <v>675</v>
      </c>
      <c r="F422" s="259" t="s">
        <v>760</v>
      </c>
      <c r="G422" s="390">
        <v>51207109</v>
      </c>
      <c r="H422" s="472" t="s">
        <v>98</v>
      </c>
      <c r="J422" s="52"/>
    </row>
    <row r="423" spans="1:10" ht="15" customHeight="1" x14ac:dyDescent="0.2">
      <c r="A423" s="243"/>
      <c r="B423" s="431"/>
      <c r="C423" s="432"/>
      <c r="D423" s="243"/>
      <c r="E423" s="243" t="s">
        <v>723</v>
      </c>
      <c r="F423" s="431"/>
      <c r="G423" s="432" t="s">
        <v>723</v>
      </c>
      <c r="H423" s="243" t="s">
        <v>723</v>
      </c>
      <c r="J423" s="52"/>
    </row>
    <row r="424" spans="1:10" ht="15" customHeight="1" x14ac:dyDescent="0.2">
      <c r="A424" s="429"/>
      <c r="B424" s="281" t="s">
        <v>377</v>
      </c>
      <c r="C424" s="397">
        <f>+C425</f>
        <v>288010</v>
      </c>
      <c r="D424" s="252"/>
      <c r="E424" s="429"/>
      <c r="F424" s="281" t="s">
        <v>377</v>
      </c>
      <c r="G424" s="397">
        <f>+G425</f>
        <v>288010</v>
      </c>
      <c r="H424" s="252"/>
      <c r="J424" s="52"/>
    </row>
    <row r="425" spans="1:10" ht="15" customHeight="1" x14ac:dyDescent="0.2">
      <c r="A425" s="252"/>
      <c r="B425" s="250" t="s">
        <v>785</v>
      </c>
      <c r="C425" s="397">
        <f>+C426</f>
        <v>288010</v>
      </c>
      <c r="D425" s="252"/>
      <c r="E425" s="252"/>
      <c r="F425" s="250" t="s">
        <v>94</v>
      </c>
      <c r="G425" s="397">
        <f>+G427</f>
        <v>288010</v>
      </c>
      <c r="H425" s="252"/>
      <c r="J425" s="52"/>
    </row>
    <row r="426" spans="1:10" ht="29.25" customHeight="1" x14ac:dyDescent="0.2">
      <c r="A426" s="254">
        <v>579</v>
      </c>
      <c r="B426" s="259" t="s">
        <v>311</v>
      </c>
      <c r="C426" s="390">
        <v>288010</v>
      </c>
      <c r="D426" s="259" t="s">
        <v>786</v>
      </c>
      <c r="E426" s="252"/>
      <c r="F426" s="250" t="s">
        <v>632</v>
      </c>
      <c r="G426" s="397">
        <f>+G427</f>
        <v>288010</v>
      </c>
      <c r="H426" s="243"/>
      <c r="J426" s="52"/>
    </row>
    <row r="427" spans="1:10" ht="26.25" customHeight="1" x14ac:dyDescent="0.2">
      <c r="A427" s="252"/>
      <c r="B427" s="259"/>
      <c r="C427" s="252"/>
      <c r="D427" s="252"/>
      <c r="E427" s="254">
        <v>675</v>
      </c>
      <c r="F427" s="252" t="s">
        <v>760</v>
      </c>
      <c r="G427" s="390">
        <v>288010</v>
      </c>
      <c r="H427" s="675" t="s">
        <v>786</v>
      </c>
      <c r="J427" s="52"/>
    </row>
    <row r="428" spans="1:10" ht="15" customHeight="1" x14ac:dyDescent="0.2">
      <c r="A428" s="252"/>
      <c r="B428" s="259"/>
      <c r="C428" s="305"/>
      <c r="D428" s="252"/>
      <c r="E428" s="252"/>
      <c r="F428" s="252"/>
      <c r="G428" s="305"/>
      <c r="H428" s="252"/>
      <c r="J428" s="52"/>
    </row>
    <row r="429" spans="1:10" ht="15" customHeight="1" x14ac:dyDescent="0.2">
      <c r="A429" s="252"/>
      <c r="B429" s="281" t="s">
        <v>368</v>
      </c>
      <c r="C429" s="397">
        <f>+C430+C434</f>
        <v>11232120</v>
      </c>
      <c r="D429" s="243"/>
      <c r="E429" s="243"/>
      <c r="F429" s="250" t="s">
        <v>368</v>
      </c>
      <c r="G429" s="397">
        <f>+G433+G430</f>
        <v>11232120</v>
      </c>
      <c r="H429" s="243"/>
      <c r="J429" s="52"/>
    </row>
    <row r="430" spans="1:10" ht="15" customHeight="1" x14ac:dyDescent="0.2">
      <c r="A430" s="252"/>
      <c r="B430" s="250" t="s">
        <v>66</v>
      </c>
      <c r="C430" s="397">
        <f>+C431+C432</f>
        <v>585390</v>
      </c>
      <c r="D430" s="243"/>
      <c r="E430" s="243"/>
      <c r="F430" s="250" t="s">
        <v>66</v>
      </c>
      <c r="G430" s="397">
        <f>+G431+G432</f>
        <v>10646730</v>
      </c>
      <c r="H430" s="243"/>
      <c r="J430" s="52"/>
    </row>
    <row r="431" spans="1:10" ht="30" customHeight="1" x14ac:dyDescent="0.2">
      <c r="A431" s="254">
        <v>579</v>
      </c>
      <c r="B431" s="259" t="s">
        <v>311</v>
      </c>
      <c r="C431" s="390">
        <v>122404</v>
      </c>
      <c r="D431" s="252" t="s">
        <v>787</v>
      </c>
      <c r="E431" s="262">
        <v>579</v>
      </c>
      <c r="F431" s="259" t="s">
        <v>311</v>
      </c>
      <c r="G431" s="389">
        <v>3115794</v>
      </c>
      <c r="H431" s="278" t="s">
        <v>788</v>
      </c>
      <c r="J431" s="52"/>
    </row>
    <row r="432" spans="1:10" ht="31.5" customHeight="1" x14ac:dyDescent="0.2">
      <c r="A432" s="254">
        <v>579</v>
      </c>
      <c r="B432" s="259" t="s">
        <v>311</v>
      </c>
      <c r="C432" s="390">
        <v>462986</v>
      </c>
      <c r="D432" s="252" t="s">
        <v>309</v>
      </c>
      <c r="E432" s="254">
        <v>579</v>
      </c>
      <c r="F432" s="259" t="s">
        <v>311</v>
      </c>
      <c r="G432" s="390">
        <v>7530936</v>
      </c>
      <c r="H432" s="252" t="s">
        <v>68</v>
      </c>
      <c r="J432" s="52"/>
    </row>
    <row r="433" spans="1:10" ht="15" customHeight="1" x14ac:dyDescent="0.2">
      <c r="A433" s="252"/>
      <c r="B433" s="252"/>
      <c r="C433" s="391"/>
      <c r="D433" s="252"/>
      <c r="E433" s="243"/>
      <c r="F433" s="250" t="s">
        <v>94</v>
      </c>
      <c r="G433" s="397">
        <f>+G435+G436</f>
        <v>585390</v>
      </c>
      <c r="H433" s="243"/>
      <c r="J433" s="52"/>
    </row>
    <row r="434" spans="1:10" ht="15" customHeight="1" x14ac:dyDescent="0.2">
      <c r="A434" s="252"/>
      <c r="B434" s="281" t="s">
        <v>94</v>
      </c>
      <c r="C434" s="397">
        <f>+C436</f>
        <v>10646730</v>
      </c>
      <c r="D434" s="252"/>
      <c r="E434" s="243"/>
      <c r="F434" s="250" t="s">
        <v>632</v>
      </c>
      <c r="G434" s="397">
        <f>+G435+G436</f>
        <v>585390</v>
      </c>
      <c r="H434" s="243"/>
      <c r="J434" s="52"/>
    </row>
    <row r="435" spans="1:10" ht="15" customHeight="1" x14ac:dyDescent="0.25">
      <c r="A435" s="252"/>
      <c r="B435" s="419" t="s">
        <v>73</v>
      </c>
      <c r="C435" s="397">
        <f>+C436</f>
        <v>10646730</v>
      </c>
      <c r="D435" s="252"/>
      <c r="E435" s="254">
        <v>675</v>
      </c>
      <c r="F435" s="252" t="s">
        <v>760</v>
      </c>
      <c r="G435" s="390">
        <v>122404</v>
      </c>
      <c r="H435" s="252" t="s">
        <v>787</v>
      </c>
      <c r="J435" s="52"/>
    </row>
    <row r="436" spans="1:10" ht="40.5" customHeight="1" x14ac:dyDescent="0.2">
      <c r="A436" s="254"/>
      <c r="B436" s="259" t="s">
        <v>596</v>
      </c>
      <c r="C436" s="389">
        <v>10646730</v>
      </c>
      <c r="D436" s="278" t="s">
        <v>788</v>
      </c>
      <c r="E436" s="254">
        <v>675</v>
      </c>
      <c r="F436" s="252" t="s">
        <v>760</v>
      </c>
      <c r="G436" s="390">
        <v>462986</v>
      </c>
      <c r="H436" s="252" t="s">
        <v>309</v>
      </c>
      <c r="J436" s="52"/>
    </row>
    <row r="437" spans="1:10" ht="15" customHeight="1" x14ac:dyDescent="0.2">
      <c r="A437" s="252"/>
      <c r="B437" s="252"/>
      <c r="C437" s="391"/>
      <c r="D437" s="252"/>
      <c r="E437" s="252"/>
      <c r="F437" s="252"/>
      <c r="G437" s="252"/>
      <c r="H437" s="252"/>
      <c r="J437" s="52"/>
    </row>
    <row r="438" spans="1:10" ht="23.25" customHeight="1" x14ac:dyDescent="0.2">
      <c r="A438" s="252"/>
      <c r="B438" s="281" t="s">
        <v>591</v>
      </c>
      <c r="C438" s="397">
        <f>+C439</f>
        <v>264321</v>
      </c>
      <c r="D438" s="243"/>
      <c r="E438" s="243"/>
      <c r="F438" s="281" t="s">
        <v>591</v>
      </c>
      <c r="G438" s="397">
        <f>+G439</f>
        <v>264321</v>
      </c>
      <c r="H438" s="243"/>
      <c r="J438" s="52"/>
    </row>
    <row r="439" spans="1:10" ht="15" customHeight="1" x14ac:dyDescent="0.25">
      <c r="A439" s="252"/>
      <c r="B439" s="419" t="s">
        <v>66</v>
      </c>
      <c r="C439" s="397">
        <f>+C440</f>
        <v>264321</v>
      </c>
      <c r="D439" s="252"/>
      <c r="E439" s="243"/>
      <c r="F439" s="419" t="s">
        <v>66</v>
      </c>
      <c r="G439" s="397">
        <f>+G440</f>
        <v>264321</v>
      </c>
      <c r="H439" s="243"/>
      <c r="J439" s="52"/>
    </row>
    <row r="440" spans="1:10" ht="25.5" customHeight="1" x14ac:dyDescent="0.2">
      <c r="A440" s="254">
        <v>579</v>
      </c>
      <c r="B440" s="259" t="s">
        <v>311</v>
      </c>
      <c r="C440" s="390">
        <v>264321</v>
      </c>
      <c r="D440" s="252" t="s">
        <v>216</v>
      </c>
      <c r="E440" s="254">
        <v>579</v>
      </c>
      <c r="F440" s="259" t="s">
        <v>311</v>
      </c>
      <c r="G440" s="390">
        <v>264321</v>
      </c>
      <c r="H440" s="252" t="s">
        <v>789</v>
      </c>
      <c r="J440" s="52"/>
    </row>
    <row r="441" spans="1:10" ht="15" customHeight="1" x14ac:dyDescent="0.2">
      <c r="A441" s="252"/>
      <c r="B441" s="252"/>
      <c r="C441" s="252"/>
      <c r="D441" s="252"/>
      <c r="E441" s="252"/>
      <c r="F441" s="252"/>
      <c r="G441" s="252"/>
      <c r="H441" s="252"/>
      <c r="J441" s="52"/>
    </row>
    <row r="442" spans="1:10" ht="15" customHeight="1" x14ac:dyDescent="0.2">
      <c r="A442" s="252"/>
      <c r="B442" s="281" t="s">
        <v>369</v>
      </c>
      <c r="C442" s="397">
        <f>+C443+C446</f>
        <v>494000</v>
      </c>
      <c r="D442" s="243"/>
      <c r="E442" s="243"/>
      <c r="F442" s="250" t="s">
        <v>369</v>
      </c>
      <c r="G442" s="397">
        <f>+G443+G446</f>
        <v>494000</v>
      </c>
      <c r="H442" s="243"/>
      <c r="J442" s="52"/>
    </row>
    <row r="443" spans="1:10" ht="15" customHeight="1" x14ac:dyDescent="0.2">
      <c r="A443" s="300"/>
      <c r="B443" s="250" t="s">
        <v>94</v>
      </c>
      <c r="C443" s="397">
        <f>+C445</f>
        <v>494000</v>
      </c>
      <c r="D443" s="250"/>
      <c r="E443" s="243"/>
      <c r="F443" s="250" t="s">
        <v>66</v>
      </c>
      <c r="G443" s="397">
        <f>+G444</f>
        <v>494000</v>
      </c>
      <c r="H443" s="243"/>
      <c r="J443" s="52"/>
    </row>
    <row r="444" spans="1:10" ht="28.5" customHeight="1" x14ac:dyDescent="0.25">
      <c r="A444" s="252"/>
      <c r="B444" s="250" t="s">
        <v>683</v>
      </c>
      <c r="C444" s="287">
        <f>+C445</f>
        <v>494000</v>
      </c>
      <c r="D444" s="252"/>
      <c r="E444" s="254">
        <v>579</v>
      </c>
      <c r="F444" s="259" t="s">
        <v>311</v>
      </c>
      <c r="G444" s="390">
        <v>494000</v>
      </c>
      <c r="H444" s="252" t="s">
        <v>68</v>
      </c>
      <c r="J444" s="52"/>
    </row>
    <row r="445" spans="1:10" ht="15" customHeight="1" x14ac:dyDescent="0.2">
      <c r="A445" s="254">
        <v>679</v>
      </c>
      <c r="B445" s="252" t="s">
        <v>349</v>
      </c>
      <c r="C445" s="390">
        <v>494000</v>
      </c>
      <c r="D445" s="252" t="s">
        <v>68</v>
      </c>
      <c r="E445" s="252"/>
      <c r="F445" s="252"/>
      <c r="G445" s="252"/>
      <c r="H445" s="252"/>
      <c r="J445" s="52"/>
    </row>
    <row r="446" spans="1:10" ht="15" customHeight="1" x14ac:dyDescent="0.2">
      <c r="A446" s="252"/>
      <c r="B446" s="252"/>
      <c r="C446" s="252"/>
      <c r="D446" s="252"/>
      <c r="E446" s="252"/>
      <c r="F446" s="252"/>
      <c r="G446" s="305"/>
      <c r="H446" s="252"/>
      <c r="J446" s="52"/>
    </row>
    <row r="447" spans="1:10" ht="15" customHeight="1" x14ac:dyDescent="0.2">
      <c r="A447" s="429"/>
      <c r="B447" s="259"/>
      <c r="C447" s="390"/>
      <c r="D447" s="252"/>
      <c r="E447" s="254"/>
      <c r="F447" s="259"/>
      <c r="G447" s="430"/>
      <c r="H447" s="472"/>
      <c r="I447" s="52"/>
      <c r="J447" s="52"/>
    </row>
    <row r="448" spans="1:10" ht="15" customHeight="1" x14ac:dyDescent="0.2">
      <c r="A448" s="252"/>
      <c r="B448" s="270" t="s">
        <v>945</v>
      </c>
      <c r="C448" s="245">
        <f>SUM(C450:C451)</f>
        <v>39250000</v>
      </c>
      <c r="D448" s="252"/>
      <c r="E448" s="252"/>
      <c r="F448" s="270" t="s">
        <v>945</v>
      </c>
      <c r="G448" s="245">
        <f>SUM(G450:G451)</f>
        <v>39250000</v>
      </c>
      <c r="H448" s="252"/>
      <c r="I448" s="52"/>
      <c r="J448" s="52"/>
    </row>
    <row r="449" spans="1:10" ht="15" customHeight="1" x14ac:dyDescent="0.2">
      <c r="A449" s="252"/>
      <c r="B449" s="250" t="s">
        <v>66</v>
      </c>
      <c r="C449" s="245">
        <f>+C450+C451</f>
        <v>39250000</v>
      </c>
      <c r="D449" s="252"/>
      <c r="E449" s="252"/>
      <c r="F449" s="250" t="s">
        <v>66</v>
      </c>
      <c r="G449" s="245">
        <f>+G450+G451</f>
        <v>39250000</v>
      </c>
      <c r="H449" s="252"/>
      <c r="I449" s="52"/>
      <c r="J449" s="52"/>
    </row>
    <row r="450" spans="1:10" ht="24.75" customHeight="1" x14ac:dyDescent="0.2">
      <c r="A450" s="254">
        <v>816</v>
      </c>
      <c r="B450" s="252" t="s">
        <v>580</v>
      </c>
      <c r="C450" s="340">
        <v>39100000</v>
      </c>
      <c r="D450" s="263" t="s">
        <v>68</v>
      </c>
      <c r="E450" s="254">
        <v>818</v>
      </c>
      <c r="F450" s="259" t="s">
        <v>581</v>
      </c>
      <c r="G450" s="340">
        <v>39100000</v>
      </c>
      <c r="H450" s="252" t="s">
        <v>68</v>
      </c>
      <c r="I450" s="52"/>
      <c r="J450" s="52"/>
    </row>
    <row r="451" spans="1:10" ht="25.5" customHeight="1" x14ac:dyDescent="0.2">
      <c r="A451" s="254">
        <v>826</v>
      </c>
      <c r="B451" s="252" t="s">
        <v>627</v>
      </c>
      <c r="C451" s="348">
        <v>150000</v>
      </c>
      <c r="D451" s="252" t="s">
        <v>79</v>
      </c>
      <c r="E451" s="254">
        <v>828</v>
      </c>
      <c r="F451" s="259" t="s">
        <v>582</v>
      </c>
      <c r="G451" s="340">
        <v>150000</v>
      </c>
      <c r="H451" s="252" t="s">
        <v>79</v>
      </c>
      <c r="I451" s="52"/>
      <c r="J451" s="52"/>
    </row>
    <row r="452" spans="1:10" ht="11.25" customHeight="1" x14ac:dyDescent="0.2">
      <c r="A452" s="252"/>
      <c r="B452" s="252"/>
      <c r="C452" s="391"/>
      <c r="D452" s="252"/>
      <c r="E452" s="252"/>
      <c r="F452" s="252"/>
      <c r="G452" s="274"/>
      <c r="H452" s="254"/>
      <c r="I452" s="52"/>
      <c r="J452" s="52"/>
    </row>
    <row r="453" spans="1:10" ht="9.75" customHeight="1" x14ac:dyDescent="0.2">
      <c r="A453" s="252"/>
      <c r="B453" s="252"/>
      <c r="C453" s="397"/>
      <c r="D453" s="433"/>
      <c r="E453" s="252"/>
      <c r="F453" s="252"/>
      <c r="G453" s="274"/>
      <c r="H453" s="435"/>
      <c r="I453" s="52"/>
      <c r="J453" s="52"/>
    </row>
    <row r="454" spans="1:10" ht="15" customHeight="1" x14ac:dyDescent="0.2">
      <c r="A454" s="250"/>
      <c r="B454" s="250" t="s">
        <v>249</v>
      </c>
      <c r="C454" s="397">
        <f>SUM(C455:C461)</f>
        <v>869028825</v>
      </c>
      <c r="D454" s="434"/>
      <c r="E454" s="250"/>
      <c r="F454" s="250" t="s">
        <v>249</v>
      </c>
      <c r="G454" s="397">
        <f>SUM(G455:G461)</f>
        <v>869028825</v>
      </c>
      <c r="H454" s="434"/>
      <c r="I454" s="52"/>
      <c r="J454" s="52"/>
    </row>
    <row r="455" spans="1:10" ht="15" customHeight="1" x14ac:dyDescent="0.25">
      <c r="A455" s="252"/>
      <c r="B455" s="252" t="s">
        <v>68</v>
      </c>
      <c r="C455" s="390">
        <f>+C464+C473</f>
        <v>479255600</v>
      </c>
      <c r="D455" s="435"/>
      <c r="E455" s="252"/>
      <c r="F455" s="252" t="s">
        <v>68</v>
      </c>
      <c r="G455" s="287">
        <f>+G464+G473</f>
        <v>236295654</v>
      </c>
      <c r="H455" s="435"/>
      <c r="I455" s="52"/>
      <c r="J455" s="52"/>
    </row>
    <row r="456" spans="1:10" ht="15" customHeight="1" x14ac:dyDescent="0.25">
      <c r="A456" s="252"/>
      <c r="B456" s="252" t="s">
        <v>790</v>
      </c>
      <c r="C456" s="390">
        <f t="shared" ref="C456:C461" si="0">+C465+C474</f>
        <v>77980709</v>
      </c>
      <c r="D456" s="435"/>
      <c r="E456" s="252"/>
      <c r="F456" s="252" t="s">
        <v>790</v>
      </c>
      <c r="G456" s="287">
        <f t="shared" ref="G456:G461" si="1">+G465+G474</f>
        <v>84099985</v>
      </c>
      <c r="H456" s="473"/>
      <c r="I456" s="52"/>
      <c r="J456" s="52"/>
    </row>
    <row r="457" spans="1:10" ht="15" customHeight="1" x14ac:dyDescent="0.25">
      <c r="A457" s="252"/>
      <c r="B457" s="252" t="s">
        <v>738</v>
      </c>
      <c r="C457" s="390">
        <f t="shared" si="0"/>
        <v>16527024</v>
      </c>
      <c r="D457" s="436"/>
      <c r="E457" s="252"/>
      <c r="F457" s="252" t="s">
        <v>738</v>
      </c>
      <c r="G457" s="287">
        <f t="shared" si="1"/>
        <v>16527024</v>
      </c>
      <c r="H457" s="436"/>
      <c r="I457" s="52"/>
      <c r="J457" s="52"/>
    </row>
    <row r="458" spans="1:10" ht="15" customHeight="1" x14ac:dyDescent="0.25">
      <c r="A458" s="252"/>
      <c r="B458" s="252" t="s">
        <v>791</v>
      </c>
      <c r="C458" s="390">
        <f t="shared" si="0"/>
        <v>9626610</v>
      </c>
      <c r="D458" s="435"/>
      <c r="E458" s="252"/>
      <c r="F458" s="252" t="s">
        <v>791</v>
      </c>
      <c r="G458" s="287">
        <f t="shared" si="1"/>
        <v>9626610</v>
      </c>
      <c r="H458" s="436"/>
      <c r="I458" s="52"/>
      <c r="J458" s="52"/>
    </row>
    <row r="459" spans="1:10" ht="15" customHeight="1" x14ac:dyDescent="0.25">
      <c r="A459" s="252"/>
      <c r="B459" s="252" t="s">
        <v>112</v>
      </c>
      <c r="C459" s="390">
        <f t="shared" si="0"/>
        <v>33836791</v>
      </c>
      <c r="D459" s="435"/>
      <c r="E459" s="252"/>
      <c r="F459" s="252" t="s">
        <v>112</v>
      </c>
      <c r="G459" s="287">
        <f t="shared" si="1"/>
        <v>46254245</v>
      </c>
      <c r="H459" s="436"/>
      <c r="I459" s="52"/>
      <c r="J459" s="52"/>
    </row>
    <row r="460" spans="1:10" ht="15" customHeight="1" x14ac:dyDescent="0.25">
      <c r="A460" s="252"/>
      <c r="B460" s="252" t="s">
        <v>757</v>
      </c>
      <c r="C460" s="390">
        <f t="shared" si="0"/>
        <v>148332178</v>
      </c>
      <c r="D460" s="435"/>
      <c r="E460" s="252"/>
      <c r="F460" s="252" t="s">
        <v>757</v>
      </c>
      <c r="G460" s="287">
        <f t="shared" si="1"/>
        <v>225398693</v>
      </c>
      <c r="H460" s="435"/>
      <c r="I460" s="52"/>
      <c r="J460" s="52"/>
    </row>
    <row r="461" spans="1:10" ht="15" customHeight="1" x14ac:dyDescent="0.25">
      <c r="A461" s="252"/>
      <c r="B461" s="252" t="s">
        <v>758</v>
      </c>
      <c r="C461" s="390">
        <f t="shared" si="0"/>
        <v>103469913</v>
      </c>
      <c r="D461" s="435"/>
      <c r="E461" s="252"/>
      <c r="F461" s="252" t="s">
        <v>758</v>
      </c>
      <c r="G461" s="287">
        <f t="shared" si="1"/>
        <v>250826614</v>
      </c>
      <c r="H461" s="435"/>
      <c r="I461" s="52"/>
      <c r="J461" s="52"/>
    </row>
    <row r="462" spans="1:10" ht="16.5" customHeight="1" x14ac:dyDescent="0.25">
      <c r="A462" s="250"/>
      <c r="B462" s="252"/>
      <c r="C462" s="437"/>
      <c r="D462" s="436"/>
      <c r="E462" s="250"/>
      <c r="F462" s="252"/>
      <c r="G462" s="287"/>
      <c r="H462" s="440"/>
      <c r="I462" s="52"/>
      <c r="J462" s="52"/>
    </row>
    <row r="463" spans="1:10" ht="15" customHeight="1" x14ac:dyDescent="0.2">
      <c r="A463" s="252"/>
      <c r="B463" s="250" t="s">
        <v>66</v>
      </c>
      <c r="C463" s="397">
        <f>SUM(C464:C470)</f>
        <v>438049497</v>
      </c>
      <c r="D463" s="438"/>
      <c r="E463" s="252"/>
      <c r="F463" s="250" t="s">
        <v>66</v>
      </c>
      <c r="G463" s="397">
        <f>SUM(G464:G470)</f>
        <v>455414556</v>
      </c>
      <c r="H463" s="438"/>
      <c r="I463" s="52"/>
      <c r="J463" s="52"/>
    </row>
    <row r="464" spans="1:10" ht="15" customHeight="1" x14ac:dyDescent="0.25">
      <c r="A464" s="252"/>
      <c r="B464" s="252" t="s">
        <v>68</v>
      </c>
      <c r="C464" s="390">
        <f>+C450+C334+C324+C323+C322+C321+C320+C319+C318+C317+C313+C312+C311+C310+C309+C308+C307+C306+C305+C304+C303+C302+C301+C300+C299+C298+C297+C296+C295+C294+C290+C289+C288+C287+C286+C285+C284+C283+C282+C281+C280+C279+C244+C230+C226+C223+C220+C210+C209+C206+C205+C198+C199+C200+C201+C162+C161+C151+C150+C149+C148+C138+C111+C110+C109+C107+C106+C105+C104+C96+C95+C94+C93+C92+C91+C90+C89+C88+C87+C86+C75+C34+C25+C24+C23+C19+C18+C17+C16+C15+C13+C11</f>
        <v>250516272</v>
      </c>
      <c r="D464" s="439"/>
      <c r="E464" s="252"/>
      <c r="F464" s="252" t="s">
        <v>68</v>
      </c>
      <c r="G464" s="287">
        <f>+G10+G23+G33+G37+G38+G40+G41+G42+G44+G45+G46+G48+G49+G50+G53+G68+G75+G86+G88+G89+G90+G105+G108+G111+G113+G135+G136+G137+G197+G207+G208+G210+G246+G251+G252+G253+G254+G255+G256+G247+G249+G257+G258+G279+G294+G295+G296+G317+G318+G319+G320+G321+G322+G323+G324+G450+G334</f>
        <v>180641273</v>
      </c>
      <c r="H464" s="440"/>
      <c r="I464" s="52"/>
      <c r="J464" s="54"/>
    </row>
    <row r="465" spans="1:10" ht="15" customHeight="1" x14ac:dyDescent="0.25">
      <c r="A465" s="252"/>
      <c r="B465" s="252" t="s">
        <v>790</v>
      </c>
      <c r="C465" s="390">
        <v>0</v>
      </c>
      <c r="D465" s="440"/>
      <c r="E465" s="252"/>
      <c r="F465" s="252" t="s">
        <v>790</v>
      </c>
      <c r="G465" s="287">
        <f>+G107+G114+G181+G168</f>
        <v>56560216</v>
      </c>
      <c r="H465" s="440"/>
      <c r="I465" s="52"/>
      <c r="J465" s="52"/>
    </row>
    <row r="466" spans="1:10" ht="15" customHeight="1" x14ac:dyDescent="0.25">
      <c r="A466" s="252"/>
      <c r="B466" s="252" t="s">
        <v>738</v>
      </c>
      <c r="C466" s="437">
        <v>0</v>
      </c>
      <c r="D466" s="439"/>
      <c r="E466" s="252"/>
      <c r="F466" s="252" t="s">
        <v>738</v>
      </c>
      <c r="G466" s="274">
        <f>+G248+G250+G243</f>
        <v>16527024</v>
      </c>
      <c r="H466" s="436"/>
      <c r="I466" s="52"/>
      <c r="J466" s="52"/>
    </row>
    <row r="467" spans="1:10" ht="15" customHeight="1" x14ac:dyDescent="0.25">
      <c r="A467" s="252"/>
      <c r="B467" s="252" t="s">
        <v>791</v>
      </c>
      <c r="C467" s="390">
        <f>+C108</f>
        <v>9626610</v>
      </c>
      <c r="D467" s="435"/>
      <c r="E467" s="252"/>
      <c r="F467" s="252" t="s">
        <v>791</v>
      </c>
      <c r="G467" s="287">
        <f>+G109+G106</f>
        <v>9626610</v>
      </c>
      <c r="H467" s="435"/>
      <c r="I467" s="52"/>
      <c r="J467" s="52"/>
    </row>
    <row r="468" spans="1:10" ht="15" customHeight="1" x14ac:dyDescent="0.25">
      <c r="A468" s="252"/>
      <c r="B468" s="252" t="s">
        <v>112</v>
      </c>
      <c r="C468" s="390">
        <f>+C166+C164+C163+C139+C137+C136+C135+C71+C70+C69+C68+C36+C35+C33+C32</f>
        <v>26209953</v>
      </c>
      <c r="D468" s="435"/>
      <c r="E468" s="252"/>
      <c r="F468" s="252" t="s">
        <v>112</v>
      </c>
      <c r="G468" s="287">
        <f>+G32+G34+G35+G36+G39+G43+G51+G52+G87+G104+G110+G112+G148+G149+G150+G151+G214+G335+G206</f>
        <v>32254245</v>
      </c>
      <c r="H468" s="435"/>
      <c r="I468" s="52"/>
      <c r="J468" s="52"/>
    </row>
    <row r="469" spans="1:10" ht="15" customHeight="1" x14ac:dyDescent="0.25">
      <c r="A469" s="252"/>
      <c r="B469" s="252" t="s">
        <v>757</v>
      </c>
      <c r="C469" s="390">
        <f>+C451+C336+C227+C219+C211+C165</f>
        <v>89187596</v>
      </c>
      <c r="D469" s="435"/>
      <c r="E469" s="252"/>
      <c r="F469" s="252" t="s">
        <v>757</v>
      </c>
      <c r="G469" s="287">
        <f>+G91+G161+G163+G165+G167+G176+G177+G205+G209+G211+G212+G213+G451+G336</f>
        <v>126175617</v>
      </c>
      <c r="H469" s="440"/>
      <c r="I469" s="52"/>
      <c r="J469" s="52"/>
    </row>
    <row r="470" spans="1:10" ht="15" customHeight="1" x14ac:dyDescent="0.2">
      <c r="A470" s="252"/>
      <c r="B470" s="252" t="s">
        <v>758</v>
      </c>
      <c r="C470" s="390">
        <f>+C337+C249+C248+C247+C246+C245+C229+C228+C225+C224+C222+C221+C218+C217+C216+C215+C214+C213+C212+C208+C207+C97+C14+C12</f>
        <v>62509066</v>
      </c>
      <c r="D470" s="435"/>
      <c r="E470" s="252"/>
      <c r="F470" s="252" t="s">
        <v>758</v>
      </c>
      <c r="G470" s="390">
        <f>+G76+G77+G78+G162+G164+G166+G169+G170+G171+G172+G173+G174+G175+G178+G179+G180+G182+G244+G245+G274+G337</f>
        <v>33629571</v>
      </c>
      <c r="H470" s="435"/>
      <c r="I470" s="52"/>
      <c r="J470" s="52"/>
    </row>
    <row r="471" spans="1:10" ht="15" customHeight="1" x14ac:dyDescent="0.2">
      <c r="A471" s="250"/>
      <c r="B471" s="252"/>
      <c r="C471" s="252"/>
      <c r="D471" s="436"/>
      <c r="E471" s="250"/>
      <c r="F471" s="252"/>
      <c r="G471" s="390"/>
      <c r="H471" s="435"/>
      <c r="I471" s="52"/>
      <c r="J471" s="52"/>
    </row>
    <row r="472" spans="1:10" ht="15" customHeight="1" x14ac:dyDescent="0.2">
      <c r="A472" s="250"/>
      <c r="B472" s="250" t="s">
        <v>94</v>
      </c>
      <c r="C472" s="397">
        <f>SUM(C473:C479)</f>
        <v>430979328</v>
      </c>
      <c r="D472" s="438"/>
      <c r="E472" s="250"/>
      <c r="F472" s="250" t="s">
        <v>94</v>
      </c>
      <c r="G472" s="397">
        <f>SUM(G473:G479)</f>
        <v>413614269</v>
      </c>
      <c r="H472" s="474"/>
      <c r="I472" s="52"/>
      <c r="J472" s="52"/>
    </row>
    <row r="473" spans="1:10" ht="15" customHeight="1" x14ac:dyDescent="0.2">
      <c r="A473" s="252"/>
      <c r="B473" s="252" t="s">
        <v>68</v>
      </c>
      <c r="C473" s="390">
        <f>+C45+C47+C48+C52+C53+C54+C118+C119+C155+C174+C175+C176+C180+C237+C340</f>
        <v>228739328</v>
      </c>
      <c r="D473" s="440"/>
      <c r="E473" s="252"/>
      <c r="F473" s="252" t="s">
        <v>68</v>
      </c>
      <c r="G473" s="390">
        <f>+G340+G262+G263+G155+G118+G64+G61+G60+G59+G58+G57+G28+G27+G26+G18</f>
        <v>55654381</v>
      </c>
      <c r="H473" s="474"/>
      <c r="I473" s="52"/>
      <c r="J473" s="52"/>
    </row>
    <row r="474" spans="1:10" ht="15" customHeight="1" x14ac:dyDescent="0.25">
      <c r="A474" s="252"/>
      <c r="B474" s="252" t="s">
        <v>790</v>
      </c>
      <c r="C474" s="390">
        <f>+C123+C170+C171+C172+C173+C341</f>
        <v>77980709</v>
      </c>
      <c r="D474" s="440"/>
      <c r="E474" s="252"/>
      <c r="F474" s="252" t="s">
        <v>790</v>
      </c>
      <c r="G474" s="287">
        <f>+G267+G269+G119</f>
        <v>27539769</v>
      </c>
      <c r="H474" s="440"/>
      <c r="I474" s="52"/>
      <c r="J474" s="52"/>
    </row>
    <row r="475" spans="1:10" ht="15" customHeight="1" x14ac:dyDescent="0.2">
      <c r="A475" s="252"/>
      <c r="B475" s="252" t="s">
        <v>738</v>
      </c>
      <c r="C475" s="390">
        <f>+C253</f>
        <v>16527024</v>
      </c>
      <c r="D475" s="435"/>
      <c r="E475" s="252"/>
      <c r="F475" s="252" t="s">
        <v>738</v>
      </c>
      <c r="G475" s="252"/>
      <c r="H475" s="436"/>
      <c r="I475" s="52"/>
      <c r="J475" s="52"/>
    </row>
    <row r="476" spans="1:10" ht="15" customHeight="1" x14ac:dyDescent="0.25">
      <c r="A476" s="252"/>
      <c r="B476" s="252" t="s">
        <v>791</v>
      </c>
      <c r="C476" s="437"/>
      <c r="D476" s="435"/>
      <c r="E476" s="252"/>
      <c r="F476" s="252" t="s">
        <v>791</v>
      </c>
      <c r="G476" s="287">
        <f>+H7</f>
        <v>0</v>
      </c>
      <c r="H476" s="435"/>
      <c r="I476" s="52"/>
      <c r="J476" s="52"/>
    </row>
    <row r="477" spans="1:10" ht="15" customHeight="1" x14ac:dyDescent="0.25">
      <c r="A477" s="252"/>
      <c r="B477" s="252" t="s">
        <v>112</v>
      </c>
      <c r="C477" s="390">
        <f>+C41+C43+C44+C46+C179+C181</f>
        <v>7626838</v>
      </c>
      <c r="D477" s="435"/>
      <c r="E477" s="252"/>
      <c r="F477" s="252" t="s">
        <v>112</v>
      </c>
      <c r="G477" s="287">
        <f>+G220+G221+G222</f>
        <v>14000000</v>
      </c>
      <c r="H477" s="435"/>
      <c r="I477" s="52"/>
      <c r="J477" s="52"/>
    </row>
    <row r="478" spans="1:10" ht="15" customHeight="1" x14ac:dyDescent="0.25">
      <c r="A478" s="252"/>
      <c r="B478" s="252" t="s">
        <v>757</v>
      </c>
      <c r="C478" s="390">
        <f>+C100+C156+C234+C236+C275+C342</f>
        <v>59144582</v>
      </c>
      <c r="D478" s="435"/>
      <c r="E478" s="252"/>
      <c r="F478" s="252" t="s">
        <v>757</v>
      </c>
      <c r="G478" s="287">
        <f>+G218+G217+G201+G191+G188+G186+G157+G156+G95+G7+G342</f>
        <v>99223076</v>
      </c>
      <c r="H478" s="435"/>
      <c r="I478" s="52"/>
      <c r="J478" s="52"/>
    </row>
    <row r="479" spans="1:10" ht="15" customHeight="1" x14ac:dyDescent="0.25">
      <c r="A479" s="252"/>
      <c r="B479" s="252" t="s">
        <v>758</v>
      </c>
      <c r="C479" s="390">
        <f>+C79+C120+C124+C125+C126+C127+C128+C129+C130+C131+C142+C143+C235+C238+C343</f>
        <v>40960847</v>
      </c>
      <c r="D479" s="435"/>
      <c r="E479" s="252"/>
      <c r="F479" s="252" t="s">
        <v>758</v>
      </c>
      <c r="G479" s="287">
        <f>+G343+G268+G264+G192+G190+G189+G187+G144+G142+G122+G121+G96+G82+G15</f>
        <v>217197043</v>
      </c>
      <c r="H479" s="435"/>
      <c r="I479" s="52"/>
      <c r="J479" s="52"/>
    </row>
    <row r="480" spans="1:10" ht="15" customHeight="1" x14ac:dyDescent="0.25">
      <c r="A480" s="252"/>
      <c r="B480" s="252"/>
      <c r="C480" s="437"/>
      <c r="D480" s="436"/>
      <c r="E480" s="252"/>
      <c r="F480" s="252"/>
      <c r="G480" s="252"/>
      <c r="H480" s="436"/>
      <c r="I480" s="52"/>
      <c r="J480" s="52"/>
    </row>
    <row r="481" spans="1:10" ht="15" customHeight="1" x14ac:dyDescent="0.2">
      <c r="A481" s="475" t="s">
        <v>958</v>
      </c>
      <c r="B481" s="252"/>
      <c r="C481" s="391"/>
      <c r="D481" s="252"/>
      <c r="E481" s="252"/>
      <c r="F481" s="252"/>
      <c r="G481" s="252"/>
      <c r="H481" s="252"/>
      <c r="I481" s="52"/>
      <c r="J481" s="52"/>
    </row>
    <row r="484" spans="1:10" x14ac:dyDescent="0.25">
      <c r="G484" s="61"/>
      <c r="H484" s="61"/>
    </row>
    <row r="485" spans="1:10" x14ac:dyDescent="0.25">
      <c r="G485" s="61"/>
      <c r="H485" s="61"/>
    </row>
    <row r="486" spans="1:10" x14ac:dyDescent="0.25">
      <c r="G486" s="61"/>
      <c r="H486" s="61"/>
    </row>
    <row r="487" spans="1:10" x14ac:dyDescent="0.25">
      <c r="H487" s="61"/>
    </row>
    <row r="488" spans="1:10" x14ac:dyDescent="0.25">
      <c r="G488" s="61"/>
    </row>
    <row r="491" spans="1:10" x14ac:dyDescent="0.25">
      <c r="G491" s="61"/>
    </row>
    <row r="493" spans="1:10" x14ac:dyDescent="0.25">
      <c r="G493" s="62"/>
    </row>
    <row r="494" spans="1:10" x14ac:dyDescent="0.25">
      <c r="G494" s="61"/>
    </row>
    <row r="497" spans="7:7" x14ac:dyDescent="0.25">
      <c r="G497" s="61"/>
    </row>
    <row r="498" spans="7:7" x14ac:dyDescent="0.25">
      <c r="G498" s="62"/>
    </row>
  </sheetData>
  <mergeCells count="3">
    <mergeCell ref="A1:H1"/>
    <mergeCell ref="A2:H2"/>
    <mergeCell ref="A3:H3"/>
  </mergeCells>
  <printOptions horizontalCentered="1" gridLines="1"/>
  <pageMargins left="0.59055118110236227" right="0.59055118110236227" top="1.1811023622047245" bottom="1.1023622047244095" header="0.9055118110236221" footer="0.9055118110236221"/>
  <pageSetup scale="62" fitToWidth="0" fitToHeight="0" orientation="landscape" r:id="rId1"/>
  <headerFooter alignWithMargins="0">
    <oddHeader>&amp;R&amp;"Arial,Negrita"&amp;9Ley N&amp;Xo&amp;X. 877&amp;K00+000......................&amp;K01+000
Anexo N&amp;Xo&amp;X. IV&amp;K00+000...................</oddHeader>
    <oddFooter>&amp;C&amp;"Arial,Negrita"&amp;9&amp;P/&amp;N</oddFooter>
  </headerFooter>
  <rowBreaks count="15" manualBreakCount="15">
    <brk id="38" max="7" man="1"/>
    <brk id="64" max="7" man="1"/>
    <brk id="91" max="7" man="1"/>
    <brk id="119" max="7" man="1"/>
    <brk id="141" max="7" man="1"/>
    <brk id="165" max="7" man="1"/>
    <brk id="189" max="7" man="1"/>
    <brk id="213" max="7" man="1"/>
    <brk id="229" max="7" man="1"/>
    <brk id="255" max="7" man="1"/>
    <brk id="291" max="7" man="1"/>
    <brk id="327" max="7" man="1"/>
    <brk id="362" max="7" man="1"/>
    <brk id="388" max="7" man="1"/>
    <brk id="419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42"/>
  <sheetViews>
    <sheetView showGridLines="0" workbookViewId="0">
      <selection activeCell="B9" sqref="B9"/>
    </sheetView>
  </sheetViews>
  <sheetFormatPr baseColWidth="10" defaultRowHeight="15" x14ac:dyDescent="0.25"/>
  <cols>
    <col min="1" max="1" width="3.42578125" style="64" customWidth="1"/>
    <col min="2" max="2" width="6.5703125" style="64" customWidth="1"/>
    <col min="3" max="3" width="37.7109375" style="64" customWidth="1"/>
    <col min="4" max="4" width="14.7109375" style="64" customWidth="1"/>
    <col min="5" max="5" width="13.85546875" style="64" bestFit="1" customWidth="1"/>
    <col min="6" max="8" width="14.85546875" style="64" bestFit="1" customWidth="1"/>
    <col min="9" max="16384" width="11.42578125" style="64"/>
  </cols>
  <sheetData>
    <row r="1" spans="1:9" x14ac:dyDescent="0.25">
      <c r="A1" s="685" t="s">
        <v>920</v>
      </c>
      <c r="B1" s="686"/>
      <c r="C1" s="686"/>
      <c r="D1" s="686"/>
      <c r="E1" s="686"/>
      <c r="F1" s="686"/>
      <c r="G1" s="687"/>
      <c r="H1" s="63"/>
      <c r="I1" s="63"/>
    </row>
    <row r="2" spans="1:9" x14ac:dyDescent="0.25">
      <c r="A2" s="732" t="s">
        <v>945</v>
      </c>
      <c r="B2" s="733"/>
      <c r="C2" s="733"/>
      <c r="D2" s="733"/>
      <c r="E2" s="733"/>
      <c r="F2" s="733"/>
      <c r="G2" s="734"/>
      <c r="H2" s="63"/>
      <c r="I2" s="63"/>
    </row>
    <row r="3" spans="1:9" x14ac:dyDescent="0.25">
      <c r="A3" s="732" t="s">
        <v>6</v>
      </c>
      <c r="B3" s="733"/>
      <c r="C3" s="733"/>
      <c r="D3" s="733"/>
      <c r="E3" s="733"/>
      <c r="F3" s="733"/>
      <c r="G3" s="734"/>
      <c r="H3" s="63"/>
      <c r="I3" s="63"/>
    </row>
    <row r="4" spans="1:9" ht="15.75" thickBot="1" x14ac:dyDescent="0.3">
      <c r="A4" s="154"/>
      <c r="B4" s="155"/>
      <c r="C4" s="155"/>
      <c r="D4" s="155"/>
      <c r="E4" s="155"/>
      <c r="F4" s="155"/>
      <c r="G4" s="156"/>
      <c r="H4" s="63"/>
      <c r="I4" s="63"/>
    </row>
    <row r="5" spans="1:9" x14ac:dyDescent="0.25">
      <c r="A5" s="627"/>
      <c r="B5" s="628"/>
      <c r="C5" s="629"/>
      <c r="D5" s="619"/>
      <c r="E5" s="619"/>
      <c r="F5" s="619"/>
      <c r="G5" s="620"/>
    </row>
    <row r="6" spans="1:9" ht="30" x14ac:dyDescent="0.25">
      <c r="A6" s="729" t="s">
        <v>2</v>
      </c>
      <c r="B6" s="730"/>
      <c r="C6" s="731"/>
      <c r="D6" s="621" t="s">
        <v>792</v>
      </c>
      <c r="E6" s="622" t="s">
        <v>247</v>
      </c>
      <c r="F6" s="622" t="s">
        <v>248</v>
      </c>
      <c r="G6" s="623" t="s">
        <v>249</v>
      </c>
    </row>
    <row r="7" spans="1:9" x14ac:dyDescent="0.25">
      <c r="A7" s="630"/>
      <c r="B7" s="631"/>
      <c r="C7" s="632"/>
      <c r="D7" s="624"/>
      <c r="E7" s="625"/>
      <c r="F7" s="625"/>
      <c r="G7" s="626"/>
    </row>
    <row r="8" spans="1:9" ht="17.25" x14ac:dyDescent="0.4">
      <c r="A8" s="633" t="s">
        <v>245</v>
      </c>
      <c r="B8" s="624"/>
      <c r="C8" s="634"/>
      <c r="D8" s="631"/>
      <c r="E8" s="635">
        <f>+E10+E17</f>
        <v>-50100000</v>
      </c>
      <c r="F8" s="635">
        <f>+F10+F17</f>
        <v>39100000</v>
      </c>
      <c r="G8" s="636">
        <f>+G10+G17</f>
        <v>-11000000</v>
      </c>
      <c r="H8" s="65"/>
    </row>
    <row r="9" spans="1:9" x14ac:dyDescent="0.25">
      <c r="A9" s="637"/>
      <c r="B9" s="639"/>
      <c r="C9" s="604"/>
      <c r="D9" s="604"/>
      <c r="E9" s="604"/>
      <c r="F9" s="604"/>
      <c r="G9" s="605"/>
      <c r="H9" s="65"/>
    </row>
    <row r="10" spans="1:9" x14ac:dyDescent="0.25">
      <c r="A10" s="637"/>
      <c r="B10" s="638" t="s">
        <v>250</v>
      </c>
      <c r="C10" s="604"/>
      <c r="D10" s="604"/>
      <c r="E10" s="555">
        <f>+E11+E14</f>
        <v>-50100000</v>
      </c>
      <c r="F10" s="555">
        <f t="shared" ref="F10:G10" si="0">+F11+F14</f>
        <v>39000000</v>
      </c>
      <c r="G10" s="607">
        <f t="shared" si="0"/>
        <v>-11100000</v>
      </c>
    </row>
    <row r="11" spans="1:9" x14ac:dyDescent="0.25">
      <c r="A11" s="637"/>
      <c r="B11" s="639"/>
      <c r="C11" s="549" t="s">
        <v>251</v>
      </c>
      <c r="D11" s="549"/>
      <c r="E11" s="555">
        <f t="shared" ref="E11:F11" si="1">SUM(E12:E13)</f>
        <v>-49963300</v>
      </c>
      <c r="F11" s="555">
        <f t="shared" si="1"/>
        <v>39000000</v>
      </c>
      <c r="G11" s="607">
        <f>+E11+F11</f>
        <v>-10963300</v>
      </c>
    </row>
    <row r="12" spans="1:9" ht="30" x14ac:dyDescent="0.25">
      <c r="A12" s="637"/>
      <c r="B12" s="639"/>
      <c r="C12" s="608" t="s">
        <v>252</v>
      </c>
      <c r="D12" s="608" t="s">
        <v>68</v>
      </c>
      <c r="E12" s="609">
        <v>-50000000</v>
      </c>
      <c r="F12" s="609">
        <v>39000000</v>
      </c>
      <c r="G12" s="610">
        <f t="shared" ref="G12:G36" si="2">+E12+F12</f>
        <v>-11000000</v>
      </c>
    </row>
    <row r="13" spans="1:9" ht="30" x14ac:dyDescent="0.25">
      <c r="A13" s="637"/>
      <c r="B13" s="639"/>
      <c r="C13" s="608" t="s">
        <v>253</v>
      </c>
      <c r="D13" s="608" t="s">
        <v>68</v>
      </c>
      <c r="E13" s="609">
        <v>36700</v>
      </c>
      <c r="F13" s="609"/>
      <c r="G13" s="610">
        <f t="shared" si="2"/>
        <v>36700</v>
      </c>
    </row>
    <row r="14" spans="1:9" x14ac:dyDescent="0.25">
      <c r="A14" s="637"/>
      <c r="B14" s="639"/>
      <c r="C14" s="549" t="s">
        <v>254</v>
      </c>
      <c r="D14" s="549"/>
      <c r="E14" s="555">
        <f t="shared" ref="E14:F14" si="3">+E15</f>
        <v>-136700</v>
      </c>
      <c r="F14" s="555">
        <f t="shared" si="3"/>
        <v>0</v>
      </c>
      <c r="G14" s="607">
        <f t="shared" si="2"/>
        <v>-136700</v>
      </c>
    </row>
    <row r="15" spans="1:9" ht="30" x14ac:dyDescent="0.25">
      <c r="A15" s="637"/>
      <c r="B15" s="639"/>
      <c r="C15" s="608" t="s">
        <v>255</v>
      </c>
      <c r="D15" s="608" t="s">
        <v>68</v>
      </c>
      <c r="E15" s="609">
        <v>-136700</v>
      </c>
      <c r="F15" s="609"/>
      <c r="G15" s="610">
        <f t="shared" si="2"/>
        <v>-136700</v>
      </c>
    </row>
    <row r="16" spans="1:9" x14ac:dyDescent="0.25">
      <c r="A16" s="637"/>
      <c r="B16" s="639"/>
      <c r="C16" s="604"/>
      <c r="D16" s="608"/>
      <c r="E16" s="609"/>
      <c r="F16" s="609"/>
      <c r="G16" s="607"/>
    </row>
    <row r="17" spans="1:7" x14ac:dyDescent="0.25">
      <c r="A17" s="637"/>
      <c r="B17" s="638" t="s">
        <v>259</v>
      </c>
      <c r="C17" s="604"/>
      <c r="D17" s="608"/>
      <c r="E17" s="555">
        <f t="shared" ref="E17:F17" si="4">+E18</f>
        <v>0</v>
      </c>
      <c r="F17" s="555">
        <f t="shared" si="4"/>
        <v>100000</v>
      </c>
      <c r="G17" s="607">
        <f t="shared" si="2"/>
        <v>100000</v>
      </c>
    </row>
    <row r="18" spans="1:7" ht="30" x14ac:dyDescent="0.25">
      <c r="A18" s="637"/>
      <c r="B18" s="639"/>
      <c r="C18" s="608" t="s">
        <v>625</v>
      </c>
      <c r="D18" s="608" t="s">
        <v>68</v>
      </c>
      <c r="E18" s="609"/>
      <c r="F18" s="609">
        <v>100000</v>
      </c>
      <c r="G18" s="610">
        <f t="shared" si="2"/>
        <v>100000</v>
      </c>
    </row>
    <row r="19" spans="1:7" x14ac:dyDescent="0.25">
      <c r="A19" s="637"/>
      <c r="B19" s="639"/>
      <c r="C19" s="608"/>
      <c r="D19" s="608"/>
      <c r="E19" s="609"/>
      <c r="F19" s="609"/>
      <c r="G19" s="607"/>
    </row>
    <row r="20" spans="1:7" ht="17.25" x14ac:dyDescent="0.4">
      <c r="A20" s="606" t="s">
        <v>260</v>
      </c>
      <c r="B20" s="604"/>
      <c r="C20" s="604"/>
      <c r="D20" s="608"/>
      <c r="E20" s="611">
        <f>+E22+E26+E33</f>
        <v>-59400000</v>
      </c>
      <c r="F20" s="611">
        <f t="shared" ref="F20:G20" si="5">+F22+F26+F33</f>
        <v>-7600000</v>
      </c>
      <c r="G20" s="612">
        <f t="shared" si="5"/>
        <v>-67000000</v>
      </c>
    </row>
    <row r="21" spans="1:7" x14ac:dyDescent="0.25">
      <c r="A21" s="640"/>
      <c r="B21" s="639"/>
      <c r="C21" s="604"/>
      <c r="D21" s="608"/>
      <c r="E21" s="555"/>
      <c r="F21" s="555"/>
      <c r="G21" s="607"/>
    </row>
    <row r="22" spans="1:7" x14ac:dyDescent="0.25">
      <c r="A22" s="637"/>
      <c r="B22" s="638" t="s">
        <v>261</v>
      </c>
      <c r="C22" s="604"/>
      <c r="D22" s="608"/>
      <c r="E22" s="555">
        <f>SUM(E23:E24)</f>
        <v>0</v>
      </c>
      <c r="F22" s="555">
        <f t="shared" ref="F22:G22" si="6">SUM(F23:F24)</f>
        <v>0</v>
      </c>
      <c r="G22" s="607">
        <f t="shared" si="6"/>
        <v>0</v>
      </c>
    </row>
    <row r="23" spans="1:7" ht="30" x14ac:dyDescent="0.25">
      <c r="A23" s="637"/>
      <c r="B23" s="639"/>
      <c r="C23" s="608" t="s">
        <v>262</v>
      </c>
      <c r="D23" s="608" t="s">
        <v>68</v>
      </c>
      <c r="E23" s="609">
        <v>-100000</v>
      </c>
      <c r="F23" s="609">
        <v>-150000</v>
      </c>
      <c r="G23" s="610">
        <f t="shared" si="2"/>
        <v>-250000</v>
      </c>
    </row>
    <row r="24" spans="1:7" x14ac:dyDescent="0.25">
      <c r="A24" s="637"/>
      <c r="B24" s="639"/>
      <c r="C24" s="608" t="s">
        <v>263</v>
      </c>
      <c r="D24" s="608" t="s">
        <v>79</v>
      </c>
      <c r="E24" s="609">
        <v>100000</v>
      </c>
      <c r="F24" s="609">
        <v>150000</v>
      </c>
      <c r="G24" s="610">
        <f t="shared" si="2"/>
        <v>250000</v>
      </c>
    </row>
    <row r="25" spans="1:7" ht="11.25" customHeight="1" x14ac:dyDescent="0.25">
      <c r="A25" s="637"/>
      <c r="B25" s="639"/>
      <c r="C25" s="604"/>
      <c r="D25" s="608"/>
      <c r="E25" s="609"/>
      <c r="F25" s="609"/>
      <c r="G25" s="607"/>
    </row>
    <row r="26" spans="1:7" x14ac:dyDescent="0.25">
      <c r="A26" s="637"/>
      <c r="B26" s="638" t="s">
        <v>264</v>
      </c>
      <c r="C26" s="604"/>
      <c r="D26" s="608"/>
      <c r="E26" s="555">
        <f>SUM(E27:E31)</f>
        <v>-59400000</v>
      </c>
      <c r="F26" s="555">
        <f t="shared" ref="F26:G26" si="7">SUM(F27:F31)</f>
        <v>0</v>
      </c>
      <c r="G26" s="607">
        <f t="shared" si="7"/>
        <v>-59400000</v>
      </c>
    </row>
    <row r="27" spans="1:7" ht="30" x14ac:dyDescent="0.25">
      <c r="A27" s="637"/>
      <c r="B27" s="639"/>
      <c r="C27" s="608" t="s">
        <v>265</v>
      </c>
      <c r="D27" s="608" t="s">
        <v>68</v>
      </c>
      <c r="E27" s="609">
        <f>-59400000+5000000-5000000</f>
        <v>-59400000</v>
      </c>
      <c r="F27" s="609"/>
      <c r="G27" s="610">
        <f t="shared" si="2"/>
        <v>-59400000</v>
      </c>
    </row>
    <row r="28" spans="1:7" ht="30" x14ac:dyDescent="0.25">
      <c r="A28" s="637"/>
      <c r="B28" s="639"/>
      <c r="C28" s="608" t="s">
        <v>267</v>
      </c>
      <c r="D28" s="608" t="s">
        <v>68</v>
      </c>
      <c r="E28" s="609">
        <v>5700000</v>
      </c>
      <c r="F28" s="609"/>
      <c r="G28" s="610">
        <f t="shared" si="2"/>
        <v>5700000</v>
      </c>
    </row>
    <row r="29" spans="1:7" ht="30" x14ac:dyDescent="0.25">
      <c r="A29" s="637"/>
      <c r="B29" s="639"/>
      <c r="C29" s="608" t="s">
        <v>266</v>
      </c>
      <c r="D29" s="608" t="s">
        <v>68</v>
      </c>
      <c r="E29" s="609"/>
      <c r="F29" s="609">
        <v>7000000</v>
      </c>
      <c r="G29" s="610">
        <f t="shared" si="2"/>
        <v>7000000</v>
      </c>
    </row>
    <row r="30" spans="1:7" ht="30" x14ac:dyDescent="0.25">
      <c r="A30" s="637"/>
      <c r="B30" s="639"/>
      <c r="C30" s="608" t="s">
        <v>267</v>
      </c>
      <c r="D30" s="608" t="s">
        <v>79</v>
      </c>
      <c r="E30" s="609">
        <f>-5700000</f>
        <v>-5700000</v>
      </c>
      <c r="F30" s="609"/>
      <c r="G30" s="610">
        <f t="shared" si="2"/>
        <v>-5700000</v>
      </c>
    </row>
    <row r="31" spans="1:7" ht="30" x14ac:dyDescent="0.25">
      <c r="A31" s="637"/>
      <c r="B31" s="639"/>
      <c r="C31" s="608" t="s">
        <v>266</v>
      </c>
      <c r="D31" s="608" t="s">
        <v>309</v>
      </c>
      <c r="E31" s="609"/>
      <c r="F31" s="609">
        <f>-7000000</f>
        <v>-7000000</v>
      </c>
      <c r="G31" s="610">
        <f t="shared" si="2"/>
        <v>-7000000</v>
      </c>
    </row>
    <row r="32" spans="1:7" ht="10.5" customHeight="1" x14ac:dyDescent="0.25">
      <c r="A32" s="637"/>
      <c r="B32" s="639"/>
      <c r="C32" s="604"/>
      <c r="D32" s="608"/>
      <c r="E32" s="609"/>
      <c r="F32" s="609"/>
      <c r="G32" s="607"/>
    </row>
    <row r="33" spans="1:7" x14ac:dyDescent="0.25">
      <c r="A33" s="637"/>
      <c r="B33" s="638" t="s">
        <v>269</v>
      </c>
      <c r="C33" s="604"/>
      <c r="D33" s="608"/>
      <c r="E33" s="555">
        <f t="shared" ref="E33:F33" si="8">+E34</f>
        <v>0</v>
      </c>
      <c r="F33" s="555">
        <f t="shared" si="8"/>
        <v>-7600000</v>
      </c>
      <c r="G33" s="607">
        <f t="shared" si="2"/>
        <v>-7600000</v>
      </c>
    </row>
    <row r="34" spans="1:7" ht="30" x14ac:dyDescent="0.25">
      <c r="A34" s="637"/>
      <c r="B34" s="639"/>
      <c r="C34" s="608" t="s">
        <v>270</v>
      </c>
      <c r="D34" s="608" t="s">
        <v>68</v>
      </c>
      <c r="E34" s="609"/>
      <c r="F34" s="609">
        <v>-7600000</v>
      </c>
      <c r="G34" s="610">
        <f t="shared" si="2"/>
        <v>-7600000</v>
      </c>
    </row>
    <row r="35" spans="1:7" ht="10.5" customHeight="1" x14ac:dyDescent="0.25">
      <c r="A35" s="637"/>
      <c r="B35" s="639"/>
      <c r="C35" s="604"/>
      <c r="D35" s="608"/>
      <c r="E35" s="604"/>
      <c r="F35" s="604"/>
      <c r="G35" s="607"/>
    </row>
    <row r="36" spans="1:7" x14ac:dyDescent="0.25">
      <c r="A36" s="640"/>
      <c r="B36" s="638" t="s">
        <v>271</v>
      </c>
      <c r="C36" s="549"/>
      <c r="D36" s="608"/>
      <c r="E36" s="613">
        <f>+E8+E20</f>
        <v>-109500000</v>
      </c>
      <c r="F36" s="613">
        <f>+F8+F20</f>
        <v>31500000</v>
      </c>
      <c r="G36" s="614">
        <f t="shared" si="2"/>
        <v>-78000000</v>
      </c>
    </row>
    <row r="37" spans="1:7" x14ac:dyDescent="0.25">
      <c r="A37" s="640"/>
      <c r="B37" s="638"/>
      <c r="C37" s="608" t="s">
        <v>68</v>
      </c>
      <c r="D37" s="608"/>
      <c r="E37" s="615">
        <f>+E12+E13+E15+E18+E23+E27+E28+E29+E34</f>
        <v>-103900000</v>
      </c>
      <c r="F37" s="615">
        <f t="shared" ref="F37" si="9">+F12+F13+F15+F18+F23+F27+F28+F29+F34</f>
        <v>38350000</v>
      </c>
      <c r="G37" s="616">
        <f>+G12+G13+G15+G18+G23+G27+G28+G29+G34</f>
        <v>-65550000</v>
      </c>
    </row>
    <row r="38" spans="1:7" x14ac:dyDescent="0.25">
      <c r="A38" s="640"/>
      <c r="B38" s="638"/>
      <c r="C38" s="608" t="s">
        <v>79</v>
      </c>
      <c r="D38" s="608"/>
      <c r="E38" s="615">
        <f>+E24+E30</f>
        <v>-5600000</v>
      </c>
      <c r="F38" s="615">
        <f t="shared" ref="F38:G38" si="10">+F24+F30</f>
        <v>150000</v>
      </c>
      <c r="G38" s="616">
        <f t="shared" si="10"/>
        <v>-5450000</v>
      </c>
    </row>
    <row r="39" spans="1:7" x14ac:dyDescent="0.25">
      <c r="A39" s="640"/>
      <c r="B39" s="638"/>
      <c r="C39" s="608" t="s">
        <v>309</v>
      </c>
      <c r="D39" s="608"/>
      <c r="E39" s="615">
        <f>+E31</f>
        <v>0</v>
      </c>
      <c r="F39" s="615">
        <f t="shared" ref="F39:G39" si="11">+F31</f>
        <v>-7000000</v>
      </c>
      <c r="G39" s="616">
        <f t="shared" si="11"/>
        <v>-7000000</v>
      </c>
    </row>
    <row r="40" spans="1:7" ht="15.75" thickBot="1" x14ac:dyDescent="0.3">
      <c r="A40" s="641"/>
      <c r="B40" s="642"/>
      <c r="C40" s="617"/>
      <c r="D40" s="608"/>
      <c r="E40" s="617"/>
      <c r="F40" s="617"/>
      <c r="G40" s="618"/>
    </row>
    <row r="42" spans="1:7" x14ac:dyDescent="0.25">
      <c r="E42" s="65"/>
      <c r="F42" s="65"/>
      <c r="G42" s="65"/>
    </row>
  </sheetData>
  <mergeCells count="4">
    <mergeCell ref="A6:C6"/>
    <mergeCell ref="A1:G1"/>
    <mergeCell ref="A2:G2"/>
    <mergeCell ref="A3:G3"/>
  </mergeCells>
  <printOptions horizontalCentered="1"/>
  <pageMargins left="0.59055118110236227" right="0.59055118110236227" top="1.1811023622047245" bottom="1.1023622047244095" header="0.86614173228346458" footer="0.9055118110236221"/>
  <pageSetup scale="83" orientation="portrait" r:id="rId1"/>
  <headerFooter>
    <oddHeader>&amp;R&amp;"Arial,Negrita"&amp;9Ley N&amp;Xo&amp;X. 877&amp;K00+000.........&amp;K01+000
Anexo N&amp;Xo&amp;X. V&amp;K00-004........</oddHeader>
    <oddFooter>&amp;C&amp;"Arial,Negrita"&amp;9&amp;P/&amp;N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15</vt:i4>
      </vt:variant>
    </vt:vector>
  </HeadingPairs>
  <TitlesOfParts>
    <vt:vector size="25" baseType="lpstr">
      <vt:lpstr>I-INGRESOS</vt:lpstr>
      <vt:lpstr>II-INCREMENTO</vt:lpstr>
      <vt:lpstr>ANEXO II-A</vt:lpstr>
      <vt:lpstr>ANEXO II-B</vt:lpstr>
      <vt:lpstr>III-REDUCCION</vt:lpstr>
      <vt:lpstr>III-A MUNICIPALIDADES</vt:lpstr>
      <vt:lpstr>ANEXO III-B</vt:lpstr>
      <vt:lpstr>IV REASIGNACION</vt:lpstr>
      <vt:lpstr>V- Int. Comisiones</vt:lpstr>
      <vt:lpstr>VI-Amortizacion</vt:lpstr>
      <vt:lpstr>'ANEXO II-B'!Área_de_impresión</vt:lpstr>
      <vt:lpstr>'III-A MUNICIPALIDADES'!Área_de_impresión</vt:lpstr>
      <vt:lpstr>'II-INCREMENTO'!Área_de_impresión</vt:lpstr>
      <vt:lpstr>'III-REDUCCION'!Área_de_impresión</vt:lpstr>
      <vt:lpstr>'I-INGRESOS'!Área_de_impresión</vt:lpstr>
      <vt:lpstr>'IV REASIGNACION'!Área_de_impresión</vt:lpstr>
      <vt:lpstr>'V- Int. Comisiones'!Área_de_impresión</vt:lpstr>
      <vt:lpstr>'VI-Amortizacion'!Área_de_impresión</vt:lpstr>
      <vt:lpstr>'ANEXO II-A'!Títulos_a_imprimir</vt:lpstr>
      <vt:lpstr>'ANEXO II-B'!Títulos_a_imprimir</vt:lpstr>
      <vt:lpstr>'III-A MUNICIPALIDADES'!Títulos_a_imprimir</vt:lpstr>
      <vt:lpstr>'II-INCREMENTO'!Títulos_a_imprimir</vt:lpstr>
      <vt:lpstr>'III-REDUCCION'!Títulos_a_imprimir</vt:lpstr>
      <vt:lpstr>'I-INGRESOS'!Títulos_a_imprimir</vt:lpstr>
      <vt:lpstr>'IV REASIGNACION'!Títulos_a_imprimir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Rosana Romero Jarquín</dc:creator>
  <cp:lastModifiedBy>JORGE CHAMORRO</cp:lastModifiedBy>
  <cp:lastPrinted>2014-09-01T22:38:35Z</cp:lastPrinted>
  <dcterms:created xsi:type="dcterms:W3CDTF">2014-07-31T16:48:50Z</dcterms:created>
  <dcterms:modified xsi:type="dcterms:W3CDTF">2014-09-02T15:01:26Z</dcterms:modified>
</cp:coreProperties>
</file>